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GSA sorted documents\73001\"/>
    </mc:Choice>
  </mc:AlternateContent>
  <xr:revisionPtr revIDLastSave="0" documentId="13_ncr:1_{2C48A0FE-6D39-4A92-B7CA-F4C597C3B97C}" xr6:coauthVersionLast="47" xr6:coauthVersionMax="47" xr10:uidLastSave="{00000000-0000-0000-0000-000000000000}"/>
  <bookViews>
    <workbookView xWindow="780" yWindow="780" windowWidth="25395" windowHeight="15180" tabRatio="626" xr2:uid="{AE945D09-9620-4548-AAC3-CB91E9509EDE}"/>
  </bookViews>
  <sheets>
    <sheet name="Read me" sheetId="1" r:id="rId1"/>
    <sheet name="Pass 1" sheetId="2" r:id="rId2"/>
    <sheet name="Pass 2" sheetId="4" r:id="rId3"/>
    <sheet name="Pass 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2" l="1"/>
  <c r="N27" i="4"/>
  <c r="Q27" i="4"/>
  <c r="Q24" i="4"/>
  <c r="N9" i="4"/>
  <c r="O20" i="4"/>
  <c r="N20" i="4"/>
  <c r="O18" i="4"/>
  <c r="N18" i="4"/>
  <c r="O12" i="4"/>
  <c r="N12" i="4"/>
  <c r="R7" i="5"/>
  <c r="S7" i="5" s="1"/>
  <c r="R15" i="5"/>
  <c r="S15" i="5" s="1"/>
  <c r="R21" i="5"/>
  <c r="R25" i="5"/>
  <c r="S25" i="5" s="1"/>
  <c r="R31" i="5"/>
  <c r="S31" i="5" s="1"/>
  <c r="R34" i="5"/>
  <c r="S34" i="5" s="1"/>
  <c r="R39" i="5"/>
  <c r="S39" i="5" s="1"/>
  <c r="R41" i="5"/>
  <c r="S41" i="5" s="1"/>
  <c r="R43" i="5"/>
  <c r="S43" i="5" s="1"/>
  <c r="R49" i="5"/>
  <c r="S49" i="5" s="1"/>
  <c r="R50" i="5"/>
  <c r="S50" i="5" s="1"/>
  <c r="R54" i="5"/>
  <c r="S54" i="5" s="1"/>
  <c r="R68" i="5"/>
  <c r="U68" i="5"/>
  <c r="U54" i="5"/>
  <c r="U50" i="5"/>
  <c r="U49" i="5"/>
  <c r="U43" i="5"/>
  <c r="U41" i="5"/>
  <c r="U39" i="5"/>
  <c r="U34" i="5"/>
  <c r="U25" i="5"/>
  <c r="U21" i="5"/>
  <c r="U15" i="5"/>
  <c r="U7" i="5"/>
  <c r="U31" i="5"/>
  <c r="S21" i="5"/>
  <c r="S68" i="5"/>
  <c r="I57" i="5"/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4" i="5"/>
  <c r="I25" i="5"/>
  <c r="I26" i="5"/>
  <c r="I27" i="5"/>
  <c r="I28" i="5"/>
  <c r="I29" i="5"/>
  <c r="I30" i="5"/>
  <c r="I31" i="5"/>
  <c r="I33" i="5"/>
  <c r="I34" i="5"/>
  <c r="I35" i="5"/>
  <c r="I36" i="5"/>
  <c r="I37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5" i="5"/>
  <c r="I71" i="5" l="1"/>
  <c r="O24" i="4"/>
  <c r="O23" i="4"/>
  <c r="I71" i="4"/>
  <c r="N53" i="4"/>
  <c r="O53" i="4"/>
  <c r="O52" i="4"/>
  <c r="N52" i="4"/>
  <c r="N47" i="4"/>
  <c r="O47" i="4"/>
  <c r="N29" i="4"/>
  <c r="O29" i="4"/>
  <c r="O28" i="4"/>
  <c r="O27" i="4"/>
  <c r="O5" i="4"/>
  <c r="G5" i="4" s="1"/>
  <c r="G70" i="5"/>
  <c r="L70" i="5" s="1"/>
  <c r="G68" i="5"/>
  <c r="G67" i="5"/>
  <c r="G66" i="5"/>
  <c r="M66" i="5" s="1"/>
  <c r="G65" i="5"/>
  <c r="M65" i="5" s="1"/>
  <c r="G64" i="5"/>
  <c r="M64" i="5" s="1"/>
  <c r="G63" i="5"/>
  <c r="G62" i="5"/>
  <c r="G61" i="5"/>
  <c r="G60" i="5"/>
  <c r="M60" i="5" s="1"/>
  <c r="G59" i="5"/>
  <c r="G58" i="5"/>
  <c r="G57" i="5"/>
  <c r="G56" i="5"/>
  <c r="G55" i="5"/>
  <c r="G54" i="5"/>
  <c r="G53" i="5"/>
  <c r="G51" i="5"/>
  <c r="G50" i="5"/>
  <c r="M50" i="5" s="1"/>
  <c r="G49" i="5"/>
  <c r="M49" i="5" s="1"/>
  <c r="G48" i="5"/>
  <c r="G45" i="5"/>
  <c r="M45" i="5" s="1"/>
  <c r="G44" i="5"/>
  <c r="G43" i="5"/>
  <c r="G42" i="5"/>
  <c r="G41" i="5"/>
  <c r="M41" i="5" s="1"/>
  <c r="G40" i="5"/>
  <c r="G39" i="5"/>
  <c r="G38" i="5"/>
  <c r="L38" i="5" s="1"/>
  <c r="G37" i="5"/>
  <c r="G36" i="5"/>
  <c r="G35" i="5"/>
  <c r="G33" i="5"/>
  <c r="G32" i="5"/>
  <c r="M32" i="5" s="1"/>
  <c r="G31" i="5"/>
  <c r="G30" i="5"/>
  <c r="G28" i="5"/>
  <c r="G27" i="5"/>
  <c r="G26" i="5"/>
  <c r="M26" i="5" s="1"/>
  <c r="G25" i="5"/>
  <c r="M25" i="5" s="1"/>
  <c r="G23" i="5"/>
  <c r="L23" i="5" s="1"/>
  <c r="G22" i="5"/>
  <c r="G21" i="5"/>
  <c r="G19" i="5"/>
  <c r="G17" i="5"/>
  <c r="G16" i="5"/>
  <c r="G15" i="5"/>
  <c r="G14" i="5"/>
  <c r="G13" i="5"/>
  <c r="G11" i="5"/>
  <c r="G10" i="5"/>
  <c r="G9" i="5"/>
  <c r="G8" i="5"/>
  <c r="L8" i="5" s="1"/>
  <c r="G5" i="5"/>
  <c r="AH22" i="4"/>
  <c r="N70" i="4"/>
  <c r="G70" i="4" s="1"/>
  <c r="W70" i="4" s="1"/>
  <c r="AH70" i="4"/>
  <c r="AN70" i="4" s="1"/>
  <c r="AT69" i="4"/>
  <c r="AH69" i="4"/>
  <c r="AN69" i="4" s="1"/>
  <c r="N69" i="4"/>
  <c r="AT68" i="4"/>
  <c r="AN68" i="4"/>
  <c r="N68" i="4"/>
  <c r="N67" i="4"/>
  <c r="AN66" i="4"/>
  <c r="AZ65" i="4"/>
  <c r="AT65" i="4"/>
  <c r="AH65" i="4"/>
  <c r="AN65" i="4" s="1"/>
  <c r="AN63" i="4"/>
  <c r="AH63" i="4"/>
  <c r="N63" i="4"/>
  <c r="G63" i="4" s="1"/>
  <c r="W63" i="4" s="1"/>
  <c r="AN62" i="4"/>
  <c r="AN61" i="4"/>
  <c r="AT58" i="4"/>
  <c r="AN58" i="4"/>
  <c r="N58" i="4"/>
  <c r="Q57" i="4"/>
  <c r="AH57" i="4"/>
  <c r="Q56" i="4"/>
  <c r="Q53" i="4"/>
  <c r="G52" i="4"/>
  <c r="T52" i="4" s="1"/>
  <c r="Q52" i="4"/>
  <c r="Q51" i="4"/>
  <c r="G51" i="4" s="1"/>
  <c r="AH47" i="4"/>
  <c r="AH49" i="4"/>
  <c r="AH50" i="4"/>
  <c r="AH51" i="4"/>
  <c r="AH52" i="4"/>
  <c r="AN52" i="4" s="1"/>
  <c r="AH53" i="4"/>
  <c r="AH54" i="4"/>
  <c r="Q47" i="4"/>
  <c r="AN46" i="4"/>
  <c r="AT46" i="4" s="1"/>
  <c r="AZ46" i="4" s="1"/>
  <c r="BF46" i="4" s="1"/>
  <c r="AH46" i="4"/>
  <c r="N46" i="4"/>
  <c r="AH45" i="4"/>
  <c r="Q44" i="4"/>
  <c r="AH43" i="4"/>
  <c r="Q43" i="4"/>
  <c r="G43" i="4" s="1"/>
  <c r="N42" i="4"/>
  <c r="AH40" i="4"/>
  <c r="N40" i="4"/>
  <c r="Q39" i="4"/>
  <c r="AH38" i="4"/>
  <c r="Q38" i="4"/>
  <c r="AH37" i="4"/>
  <c r="Q34" i="4"/>
  <c r="Q33" i="4"/>
  <c r="AN32" i="4"/>
  <c r="AH32" i="4"/>
  <c r="Q29" i="4"/>
  <c r="Q28" i="4"/>
  <c r="P24" i="4"/>
  <c r="G24" i="4"/>
  <c r="AH26" i="4"/>
  <c r="AH27" i="4"/>
  <c r="Q23" i="4"/>
  <c r="Q22" i="4"/>
  <c r="J72" i="2"/>
  <c r="Q71" i="2"/>
  <c r="G71" i="2" s="1"/>
  <c r="L71" i="2"/>
  <c r="N21" i="4"/>
  <c r="G21" i="4"/>
  <c r="W21" i="4" s="1"/>
  <c r="G20" i="4"/>
  <c r="AH18" i="4"/>
  <c r="Q18" i="4"/>
  <c r="N17" i="4"/>
  <c r="Q14" i="4"/>
  <c r="G12" i="4"/>
  <c r="AH10" i="4"/>
  <c r="Q10" i="4"/>
  <c r="Q9" i="4"/>
  <c r="N8" i="4"/>
  <c r="N7" i="4"/>
  <c r="Q6" i="4"/>
  <c r="AH5" i="4"/>
  <c r="Q5" i="4"/>
  <c r="L70" i="4"/>
  <c r="L69" i="4"/>
  <c r="G69" i="4"/>
  <c r="W69" i="4" s="1"/>
  <c r="AH68" i="4"/>
  <c r="L68" i="4"/>
  <c r="G68" i="4"/>
  <c r="T68" i="4" s="1"/>
  <c r="AH67" i="4"/>
  <c r="AN67" i="4" s="1"/>
  <c r="AT67" i="4" s="1"/>
  <c r="L67" i="4"/>
  <c r="AH66" i="4"/>
  <c r="L66" i="4"/>
  <c r="G66" i="4"/>
  <c r="U66" i="4" s="1"/>
  <c r="L65" i="4"/>
  <c r="G65" i="4"/>
  <c r="T65" i="4" s="1"/>
  <c r="G64" i="4"/>
  <c r="T64" i="4" s="1"/>
  <c r="L64" i="4"/>
  <c r="L63" i="4"/>
  <c r="AH62" i="4"/>
  <c r="G62" i="4"/>
  <c r="W62" i="4" s="1"/>
  <c r="L62" i="4"/>
  <c r="AH61" i="4"/>
  <c r="G61" i="4"/>
  <c r="S61" i="4" s="1"/>
  <c r="L61" i="4"/>
  <c r="L60" i="4"/>
  <c r="G60" i="4"/>
  <c r="T60" i="4" s="1"/>
  <c r="G59" i="4"/>
  <c r="L59" i="4"/>
  <c r="AH58" i="4"/>
  <c r="L58" i="4"/>
  <c r="G58" i="4"/>
  <c r="W58" i="4" s="1"/>
  <c r="G57" i="4"/>
  <c r="W57" i="4" s="1"/>
  <c r="L57" i="4"/>
  <c r="L56" i="4"/>
  <c r="L55" i="4"/>
  <c r="G55" i="4"/>
  <c r="V55" i="4" s="1"/>
  <c r="L54" i="4"/>
  <c r="G54" i="4"/>
  <c r="W54" i="4" s="1"/>
  <c r="AN53" i="4"/>
  <c r="L53" i="4"/>
  <c r="G53" i="4"/>
  <c r="W53" i="4" s="1"/>
  <c r="L52" i="4"/>
  <c r="L51" i="4"/>
  <c r="L50" i="4"/>
  <c r="L49" i="4"/>
  <c r="L48" i="4"/>
  <c r="G47" i="4"/>
  <c r="W47" i="4" s="1"/>
  <c r="L47" i="4"/>
  <c r="L46" i="4"/>
  <c r="G46" i="4"/>
  <c r="W46" i="4"/>
  <c r="L45" i="4"/>
  <c r="G45" i="4"/>
  <c r="W45" i="4"/>
  <c r="G44" i="4"/>
  <c r="L44" i="4"/>
  <c r="L43" i="4"/>
  <c r="AH42" i="4"/>
  <c r="AN42" i="4"/>
  <c r="G42" i="4"/>
  <c r="L42" i="4"/>
  <c r="AH41" i="4"/>
  <c r="L41" i="4"/>
  <c r="G41" i="4"/>
  <c r="T41" i="4" s="1"/>
  <c r="V41" i="4"/>
  <c r="AN40" i="4"/>
  <c r="L40" i="4"/>
  <c r="G40" i="4"/>
  <c r="U40" i="4"/>
  <c r="L39" i="4"/>
  <c r="G39" i="4"/>
  <c r="W39" i="4"/>
  <c r="L38" i="4"/>
  <c r="G38" i="4"/>
  <c r="T38" i="4"/>
  <c r="L37" i="4"/>
  <c r="G37" i="4"/>
  <c r="W37" i="4" s="1"/>
  <c r="AH36" i="4"/>
  <c r="L36" i="4"/>
  <c r="G36" i="4"/>
  <c r="W36" i="4" s="1"/>
  <c r="AH35" i="4"/>
  <c r="L35" i="4"/>
  <c r="G35" i="4"/>
  <c r="S35" i="4" s="1"/>
  <c r="L34" i="4"/>
  <c r="AH33" i="4"/>
  <c r="L33" i="4"/>
  <c r="G33" i="4"/>
  <c r="V33" i="4"/>
  <c r="L32" i="4"/>
  <c r="G32" i="4"/>
  <c r="V32" i="4"/>
  <c r="L31" i="4"/>
  <c r="AH30" i="4"/>
  <c r="L30" i="4"/>
  <c r="G30" i="4"/>
  <c r="V30" i="4"/>
  <c r="AH29" i="4"/>
  <c r="AZ29" i="4" s="1"/>
  <c r="L29" i="4"/>
  <c r="L28" i="4"/>
  <c r="L27" i="4"/>
  <c r="G27" i="4"/>
  <c r="W27" i="4" s="1"/>
  <c r="L26" i="4"/>
  <c r="G26" i="4"/>
  <c r="V26" i="4" s="1"/>
  <c r="L25" i="4"/>
  <c r="G25" i="4"/>
  <c r="S25" i="4"/>
  <c r="L24" i="4"/>
  <c r="L23" i="4"/>
  <c r="G23" i="4"/>
  <c r="S23" i="4" s="1"/>
  <c r="L22" i="4"/>
  <c r="AH21" i="4"/>
  <c r="AN21" i="4" s="1"/>
  <c r="AT21" i="4" s="1"/>
  <c r="AZ21" i="4" s="1"/>
  <c r="L21" i="4"/>
  <c r="AH20" i="4"/>
  <c r="L20" i="4"/>
  <c r="AH19" i="4"/>
  <c r="L19" i="4"/>
  <c r="G19" i="4"/>
  <c r="W19" i="4"/>
  <c r="L18" i="4"/>
  <c r="AH17" i="4"/>
  <c r="AN17" i="4" s="1"/>
  <c r="AT17" i="4" s="1"/>
  <c r="L17" i="4"/>
  <c r="G17" i="4"/>
  <c r="W17" i="4" s="1"/>
  <c r="L16" i="4"/>
  <c r="G16" i="4"/>
  <c r="V16" i="4"/>
  <c r="L15" i="4"/>
  <c r="L14" i="4"/>
  <c r="G14" i="4"/>
  <c r="W14" i="4" s="1"/>
  <c r="U14" i="4"/>
  <c r="L13" i="4"/>
  <c r="G13" i="4"/>
  <c r="U13" i="4" s="1"/>
  <c r="S13" i="4"/>
  <c r="AH12" i="4"/>
  <c r="AN12" i="4" s="1"/>
  <c r="AT12" i="4" s="1"/>
  <c r="L12" i="4"/>
  <c r="L11" i="4"/>
  <c r="G11" i="4"/>
  <c r="W11" i="4" s="1"/>
  <c r="L10" i="4"/>
  <c r="G10" i="4"/>
  <c r="V10" i="4"/>
  <c r="AH9" i="4"/>
  <c r="AN9" i="4"/>
  <c r="AT9" i="4" s="1"/>
  <c r="L9" i="4"/>
  <c r="AH8" i="4"/>
  <c r="G8" i="4"/>
  <c r="L8" i="4"/>
  <c r="AH7" i="4"/>
  <c r="AN7" i="4"/>
  <c r="L7" i="4"/>
  <c r="AH6" i="4"/>
  <c r="L6" i="4"/>
  <c r="L5" i="4"/>
  <c r="G5" i="2"/>
  <c r="S5" i="2"/>
  <c r="L5" i="2"/>
  <c r="V5" i="2"/>
  <c r="AH5" i="2"/>
  <c r="AH42" i="2"/>
  <c r="AN42" i="2"/>
  <c r="AH41" i="2"/>
  <c r="AN40" i="2"/>
  <c r="AT40" i="2"/>
  <c r="AH40" i="2"/>
  <c r="AH39" i="2"/>
  <c r="AN39" i="2"/>
  <c r="AH38" i="2"/>
  <c r="AN38" i="2"/>
  <c r="AH36" i="2"/>
  <c r="AH35" i="2"/>
  <c r="AT35" i="2"/>
  <c r="AH34" i="2"/>
  <c r="AT34" i="2"/>
  <c r="AZ33" i="2"/>
  <c r="AT33" i="2"/>
  <c r="AN33" i="2"/>
  <c r="AH33" i="2"/>
  <c r="AT31" i="2"/>
  <c r="AH31" i="2"/>
  <c r="AN31" i="2"/>
  <c r="AH30" i="2"/>
  <c r="AN30" i="2"/>
  <c r="AN29" i="2"/>
  <c r="AH29" i="2"/>
  <c r="AH28" i="2"/>
  <c r="AN28" i="2"/>
  <c r="BF28" i="2"/>
  <c r="AH27" i="2"/>
  <c r="AN27" i="2"/>
  <c r="AT26" i="2"/>
  <c r="AH26" i="2"/>
  <c r="AN26" i="2"/>
  <c r="AH25" i="2"/>
  <c r="AH24" i="2"/>
  <c r="AN24" i="2"/>
  <c r="AH22" i="2"/>
  <c r="AN22" i="2"/>
  <c r="AH15" i="2"/>
  <c r="AN15" i="2"/>
  <c r="AH17" i="2"/>
  <c r="AN21" i="2"/>
  <c r="AH21" i="2"/>
  <c r="AH20" i="2"/>
  <c r="AH19" i="2"/>
  <c r="AN16" i="2"/>
  <c r="AT16" i="2"/>
  <c r="AZ16" i="2"/>
  <c r="AH16" i="2"/>
  <c r="AH12" i="2"/>
  <c r="AN12" i="2"/>
  <c r="AT12" i="2"/>
  <c r="AH10" i="2"/>
  <c r="AT10" i="2"/>
  <c r="AN9" i="2"/>
  <c r="AH9" i="2"/>
  <c r="AT8" i="2"/>
  <c r="AZ8" i="2"/>
  <c r="AH8" i="2"/>
  <c r="AN8" i="2"/>
  <c r="AH7" i="2"/>
  <c r="AN7" i="2"/>
  <c r="AT7" i="2"/>
  <c r="AZ7" i="2"/>
  <c r="AN11" i="2"/>
  <c r="AH11" i="2"/>
  <c r="AH6" i="2"/>
  <c r="AN6" i="2"/>
  <c r="N68" i="2"/>
  <c r="AH68" i="2"/>
  <c r="N67" i="2"/>
  <c r="G67" i="2"/>
  <c r="U67" i="2"/>
  <c r="AV67" i="2"/>
  <c r="AH67" i="2"/>
  <c r="AN67" i="2"/>
  <c r="AT67" i="2"/>
  <c r="N66" i="2"/>
  <c r="AH66" i="2"/>
  <c r="AJ64" i="2"/>
  <c r="N64" i="2"/>
  <c r="G64" i="2"/>
  <c r="T64" i="2"/>
  <c r="AH64" i="2"/>
  <c r="N62" i="2"/>
  <c r="G62" i="2"/>
  <c r="V62" i="2"/>
  <c r="AH62" i="2"/>
  <c r="N61" i="2"/>
  <c r="AH61" i="2"/>
  <c r="N60" i="2"/>
  <c r="AH60" i="2"/>
  <c r="AN60" i="2"/>
  <c r="G59" i="2"/>
  <c r="X59" i="2"/>
  <c r="M59" i="2"/>
  <c r="AH58" i="2"/>
  <c r="AJ57" i="2"/>
  <c r="N57" i="2"/>
  <c r="G57" i="2"/>
  <c r="V57" i="2"/>
  <c r="AH57" i="2"/>
  <c r="AN57" i="2"/>
  <c r="N56" i="2"/>
  <c r="G56" i="2"/>
  <c r="T56" i="2"/>
  <c r="AH56" i="2"/>
  <c r="AN56" i="2"/>
  <c r="N55" i="2"/>
  <c r="G55" i="2"/>
  <c r="U55" i="2"/>
  <c r="N54" i="2"/>
  <c r="G54" i="2"/>
  <c r="V54" i="2"/>
  <c r="AH54" i="2"/>
  <c r="N53" i="2"/>
  <c r="G53" i="2"/>
  <c r="S53" i="2"/>
  <c r="AH53" i="2"/>
  <c r="AN53" i="2"/>
  <c r="AT53" i="2"/>
  <c r="N51" i="2"/>
  <c r="G51" i="2"/>
  <c r="T51" i="2"/>
  <c r="AN51" i="2"/>
  <c r="AT51" i="2"/>
  <c r="AZ51" i="2"/>
  <c r="AB44" i="2"/>
  <c r="AB45" i="2"/>
  <c r="AB50" i="2"/>
  <c r="AB49" i="2"/>
  <c r="AB47" i="2"/>
  <c r="AB46" i="2"/>
  <c r="AT50" i="2"/>
  <c r="AN50" i="2"/>
  <c r="AJ50" i="2"/>
  <c r="N50" i="2"/>
  <c r="G50" i="2"/>
  <c r="W50" i="2"/>
  <c r="N49" i="2"/>
  <c r="G49" i="2"/>
  <c r="V49" i="2"/>
  <c r="N48" i="2"/>
  <c r="G48" i="2"/>
  <c r="T48" i="2"/>
  <c r="N47" i="2"/>
  <c r="G47" i="2"/>
  <c r="S47" i="2"/>
  <c r="AJ46" i="2"/>
  <c r="N44" i="2"/>
  <c r="G44" i="2"/>
  <c r="W44" i="2"/>
  <c r="N42" i="2"/>
  <c r="G42" i="2"/>
  <c r="W42" i="2"/>
  <c r="N39" i="2"/>
  <c r="G39" i="2"/>
  <c r="W39" i="2"/>
  <c r="N35" i="2"/>
  <c r="Q35" i="2"/>
  <c r="N34" i="2"/>
  <c r="G34" i="2"/>
  <c r="S34" i="2"/>
  <c r="N33" i="2"/>
  <c r="G33" i="2"/>
  <c r="W33" i="2"/>
  <c r="N31" i="2"/>
  <c r="G31" i="2"/>
  <c r="W31" i="2"/>
  <c r="N30" i="2"/>
  <c r="G30" i="2"/>
  <c r="V30" i="2"/>
  <c r="N29" i="2"/>
  <c r="G29" i="2"/>
  <c r="U29" i="2"/>
  <c r="N28" i="2"/>
  <c r="G28" i="2"/>
  <c r="S28" i="2"/>
  <c r="N27" i="2"/>
  <c r="G27" i="2"/>
  <c r="S27" i="2"/>
  <c r="N26" i="2"/>
  <c r="G26" i="2"/>
  <c r="T26" i="2"/>
  <c r="N24" i="2"/>
  <c r="G24" i="2"/>
  <c r="T24" i="2"/>
  <c r="N22" i="2"/>
  <c r="G22" i="2"/>
  <c r="W22" i="2"/>
  <c r="G21" i="2"/>
  <c r="S21" i="2" s="1"/>
  <c r="N16" i="2"/>
  <c r="G16" i="2"/>
  <c r="T16" i="2"/>
  <c r="N15" i="2"/>
  <c r="G15" i="2"/>
  <c r="W15" i="2"/>
  <c r="N12" i="2"/>
  <c r="G12" i="2"/>
  <c r="W12" i="2"/>
  <c r="N11" i="2"/>
  <c r="G11" i="2"/>
  <c r="S11" i="2"/>
  <c r="N10" i="2"/>
  <c r="G10" i="2"/>
  <c r="T10" i="2"/>
  <c r="L10" i="2"/>
  <c r="N9" i="2"/>
  <c r="G9" i="2"/>
  <c r="T9" i="2"/>
  <c r="N8" i="2"/>
  <c r="G8" i="2"/>
  <c r="S8" i="2"/>
  <c r="N7" i="2"/>
  <c r="G7" i="2"/>
  <c r="W7" i="2"/>
  <c r="N6" i="2"/>
  <c r="G6" i="2"/>
  <c r="V6" i="2"/>
  <c r="G13" i="2"/>
  <c r="S13" i="2"/>
  <c r="G14" i="2"/>
  <c r="V14" i="2"/>
  <c r="G17" i="2"/>
  <c r="W17" i="2"/>
  <c r="G18" i="2"/>
  <c r="W18" i="2"/>
  <c r="G19" i="2"/>
  <c r="T19" i="2"/>
  <c r="G20" i="2"/>
  <c r="W20" i="2"/>
  <c r="G23" i="2"/>
  <c r="V23" i="2"/>
  <c r="G25" i="2"/>
  <c r="W25" i="2"/>
  <c r="G32" i="2"/>
  <c r="T32" i="2"/>
  <c r="G36" i="2"/>
  <c r="S36" i="2"/>
  <c r="G37" i="2"/>
  <c r="W37" i="2"/>
  <c r="G38" i="2"/>
  <c r="V38" i="2"/>
  <c r="G40" i="2"/>
  <c r="T40" i="2"/>
  <c r="G41" i="2"/>
  <c r="W41" i="2"/>
  <c r="G43" i="2"/>
  <c r="W43" i="2"/>
  <c r="G45" i="2"/>
  <c r="U45" i="2"/>
  <c r="G46" i="2"/>
  <c r="V46" i="2"/>
  <c r="G52" i="2"/>
  <c r="S52" i="2"/>
  <c r="G58" i="2"/>
  <c r="V58" i="2"/>
  <c r="G60" i="2"/>
  <c r="S60" i="2"/>
  <c r="G61" i="2"/>
  <c r="S61" i="2"/>
  <c r="G63" i="2"/>
  <c r="W63" i="2"/>
  <c r="G65" i="2"/>
  <c r="V65" i="2"/>
  <c r="G66" i="2"/>
  <c r="S66" i="2"/>
  <c r="G68" i="2"/>
  <c r="S68" i="2"/>
  <c r="G69" i="2"/>
  <c r="S69" i="2"/>
  <c r="G70" i="2"/>
  <c r="U70" i="2"/>
  <c r="L6" i="2"/>
  <c r="L7" i="2"/>
  <c r="L8" i="2"/>
  <c r="L9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S53" i="4"/>
  <c r="S38" i="4"/>
  <c r="U38" i="4"/>
  <c r="V38" i="4"/>
  <c r="T39" i="4"/>
  <c r="U37" i="4"/>
  <c r="W33" i="4"/>
  <c r="W32" i="4"/>
  <c r="S30" i="4"/>
  <c r="W30" i="4"/>
  <c r="S26" i="4"/>
  <c r="AN34" i="2"/>
  <c r="AN10" i="2"/>
  <c r="AT28" i="2"/>
  <c r="AT39" i="2"/>
  <c r="AZ28" i="2"/>
  <c r="AN35" i="2"/>
  <c r="AZ39" i="2"/>
  <c r="W5" i="2"/>
  <c r="U5" i="2"/>
  <c r="T5" i="2"/>
  <c r="S16" i="4"/>
  <c r="T16" i="4"/>
  <c r="T10" i="4"/>
  <c r="S10" i="4"/>
  <c r="AN8" i="4"/>
  <c r="W10" i="4"/>
  <c r="W16" i="4"/>
  <c r="T25" i="4"/>
  <c r="S33" i="4"/>
  <c r="U45" i="4"/>
  <c r="U25" i="4"/>
  <c r="T33" i="4"/>
  <c r="S32" i="4"/>
  <c r="T11" i="4"/>
  <c r="T13" i="4"/>
  <c r="U19" i="4"/>
  <c r="T21" i="4"/>
  <c r="T32" i="4"/>
  <c r="W38" i="4"/>
  <c r="U46" i="4"/>
  <c r="W44" i="4"/>
  <c r="V44" i="4"/>
  <c r="U44" i="4"/>
  <c r="S44" i="4"/>
  <c r="G50" i="4"/>
  <c r="U61" i="4"/>
  <c r="V42" i="4"/>
  <c r="W42" i="4"/>
  <c r="U42" i="4"/>
  <c r="S42" i="4"/>
  <c r="V64" i="4"/>
  <c r="U59" i="4"/>
  <c r="T59" i="4"/>
  <c r="S59" i="4"/>
  <c r="W59" i="4"/>
  <c r="V59" i="4"/>
  <c r="W8" i="4"/>
  <c r="U8" i="4"/>
  <c r="V8" i="4"/>
  <c r="S8" i="4"/>
  <c r="G67" i="4"/>
  <c r="W67" i="4" s="1"/>
  <c r="U10" i="4"/>
  <c r="V13" i="4"/>
  <c r="U16" i="4"/>
  <c r="S19" i="4"/>
  <c r="G22" i="4"/>
  <c r="V22" i="4" s="1"/>
  <c r="V25" i="4"/>
  <c r="G28" i="4"/>
  <c r="T28" i="4" s="1"/>
  <c r="U32" i="4"/>
  <c r="U33" i="4"/>
  <c r="U35" i="4"/>
  <c r="S37" i="4"/>
  <c r="W40" i="4"/>
  <c r="T42" i="4"/>
  <c r="S45" i="4"/>
  <c r="S46" i="4"/>
  <c r="G48" i="4"/>
  <c r="S48" i="4" s="1"/>
  <c r="T48" i="4"/>
  <c r="G49" i="4"/>
  <c r="T49" i="4" s="1"/>
  <c r="V54" i="4"/>
  <c r="V60" i="4"/>
  <c r="U69" i="4"/>
  <c r="T35" i="4"/>
  <c r="V40" i="4"/>
  <c r="G7" i="4"/>
  <c r="T7" i="4"/>
  <c r="T8" i="4"/>
  <c r="G9" i="4"/>
  <c r="T9" i="4" s="1"/>
  <c r="S11" i="4"/>
  <c r="W13" i="4"/>
  <c r="G15" i="4"/>
  <c r="T15" i="4"/>
  <c r="T19" i="4"/>
  <c r="S21" i="4"/>
  <c r="W25" i="4"/>
  <c r="G31" i="4"/>
  <c r="T31" i="4"/>
  <c r="V35" i="4"/>
  <c r="T36" i="4"/>
  <c r="T37" i="4"/>
  <c r="S39" i="4"/>
  <c r="T44" i="4"/>
  <c r="T45" i="4"/>
  <c r="T46" i="4"/>
  <c r="W60" i="4"/>
  <c r="U11" i="4"/>
  <c r="U17" i="4"/>
  <c r="V19" i="4"/>
  <c r="U21" i="4"/>
  <c r="U27" i="4"/>
  <c r="T30" i="4"/>
  <c r="V36" i="4"/>
  <c r="V37" i="4"/>
  <c r="U39" i="4"/>
  <c r="V45" i="4"/>
  <c r="V46" i="4"/>
  <c r="W35" i="4"/>
  <c r="V11" i="4"/>
  <c r="V21" i="4"/>
  <c r="U30" i="4"/>
  <c r="V39" i="4"/>
  <c r="S40" i="4"/>
  <c r="U53" i="4"/>
  <c r="T40" i="4"/>
  <c r="W68" i="2"/>
  <c r="V68" i="2"/>
  <c r="U68" i="2"/>
  <c r="T68" i="2"/>
  <c r="S64" i="2"/>
  <c r="V60" i="2"/>
  <c r="T60" i="2"/>
  <c r="S46" i="2"/>
  <c r="W6" i="2"/>
  <c r="W64" i="2"/>
  <c r="W38" i="2"/>
  <c r="W36" i="2"/>
  <c r="U63" i="2"/>
  <c r="W60" i="2"/>
  <c r="W30" i="2"/>
  <c r="T63" i="2"/>
  <c r="W52" i="2"/>
  <c r="S63" i="2"/>
  <c r="T69" i="2"/>
  <c r="W46" i="2"/>
  <c r="W45" i="2"/>
  <c r="W70" i="2"/>
  <c r="W62" i="2"/>
  <c r="W28" i="2"/>
  <c r="U61" i="2"/>
  <c r="W69" i="2"/>
  <c r="W61" i="2"/>
  <c r="W51" i="2"/>
  <c r="W27" i="2"/>
  <c r="W19" i="2"/>
  <c r="W11" i="2"/>
  <c r="T61" i="2"/>
  <c r="W26" i="2"/>
  <c r="W67" i="2"/>
  <c r="W57" i="2"/>
  <c r="W49" i="2"/>
  <c r="W9" i="2"/>
  <c r="W10" i="2"/>
  <c r="U60" i="2"/>
  <c r="W66" i="2"/>
  <c r="W56" i="2"/>
  <c r="W48" i="2"/>
  <c r="W40" i="2"/>
  <c r="W32" i="2"/>
  <c r="W24" i="2"/>
  <c r="W16" i="2"/>
  <c r="W8" i="2"/>
  <c r="W34" i="2"/>
  <c r="V67" i="2"/>
  <c r="V63" i="2"/>
  <c r="W65" i="2"/>
  <c r="W55" i="2"/>
  <c r="W47" i="2"/>
  <c r="W23" i="2"/>
  <c r="U69" i="2"/>
  <c r="W54" i="2"/>
  <c r="W14" i="2"/>
  <c r="W53" i="2"/>
  <c r="W29" i="2"/>
  <c r="W13" i="2"/>
  <c r="T59" i="2"/>
  <c r="W59" i="2"/>
  <c r="U58" i="2"/>
  <c r="T58" i="2"/>
  <c r="W58" i="2"/>
  <c r="S50" i="2"/>
  <c r="V50" i="2"/>
  <c r="S67" i="2"/>
  <c r="V59" i="2"/>
  <c r="T67" i="2"/>
  <c r="V66" i="2"/>
  <c r="U59" i="2"/>
  <c r="AT57" i="2"/>
  <c r="U62" i="2"/>
  <c r="T66" i="2"/>
  <c r="S59" i="2"/>
  <c r="S58" i="2"/>
  <c r="U66" i="2"/>
  <c r="S56" i="2"/>
  <c r="T55" i="2"/>
  <c r="S55" i="2"/>
  <c r="V55" i="2"/>
  <c r="U54" i="2"/>
  <c r="U53" i="2"/>
  <c r="T53" i="2"/>
  <c r="V52" i="2"/>
  <c r="U52" i="2"/>
  <c r="T52" i="2"/>
  <c r="V51" i="2"/>
  <c r="S51" i="2"/>
  <c r="U51" i="2"/>
  <c r="U50" i="2"/>
  <c r="T50" i="2"/>
  <c r="S48" i="2"/>
  <c r="S62" i="2"/>
  <c r="S54" i="2"/>
  <c r="G35" i="2"/>
  <c r="S35" i="2"/>
  <c r="V69" i="2"/>
  <c r="V61" i="2"/>
  <c r="V53" i="2"/>
  <c r="S29" i="2"/>
  <c r="V47" i="2"/>
  <c r="U47" i="2"/>
  <c r="T47" i="2"/>
  <c r="U46" i="2"/>
  <c r="T45" i="2"/>
  <c r="S45" i="2"/>
  <c r="V45" i="2"/>
  <c r="V44" i="2"/>
  <c r="S44" i="2"/>
  <c r="U44" i="2"/>
  <c r="T44" i="2"/>
  <c r="V43" i="2"/>
  <c r="U43" i="2"/>
  <c r="T43" i="2"/>
  <c r="S43" i="2"/>
  <c r="V42" i="2"/>
  <c r="T42" i="2"/>
  <c r="S42" i="2"/>
  <c r="U42" i="2"/>
  <c r="V41" i="2"/>
  <c r="S40" i="2"/>
  <c r="V39" i="2"/>
  <c r="U39" i="2"/>
  <c r="T39" i="2"/>
  <c r="S39" i="2"/>
  <c r="U38" i="2"/>
  <c r="S38" i="2"/>
  <c r="V37" i="2"/>
  <c r="U37" i="2"/>
  <c r="T37" i="2"/>
  <c r="S37" i="2"/>
  <c r="V36" i="2"/>
  <c r="U36" i="2"/>
  <c r="T36" i="2"/>
  <c r="V34" i="2"/>
  <c r="U34" i="2"/>
  <c r="T34" i="2"/>
  <c r="V33" i="2"/>
  <c r="S32" i="2"/>
  <c r="V31" i="2"/>
  <c r="U31" i="2"/>
  <c r="T31" i="2"/>
  <c r="S31" i="2"/>
  <c r="U30" i="2"/>
  <c r="S30" i="2"/>
  <c r="T29" i="2"/>
  <c r="V29" i="2"/>
  <c r="V28" i="2"/>
  <c r="U28" i="2"/>
  <c r="T28" i="2"/>
  <c r="U27" i="2"/>
  <c r="T27" i="2"/>
  <c r="V27" i="2"/>
  <c r="S26" i="2"/>
  <c r="V26" i="2"/>
  <c r="U26" i="2"/>
  <c r="V25" i="2"/>
  <c r="S24" i="2"/>
  <c r="S23" i="2"/>
  <c r="U23" i="2"/>
  <c r="T23" i="2"/>
  <c r="V22" i="2"/>
  <c r="U22" i="2"/>
  <c r="S22" i="2"/>
  <c r="V21" i="2"/>
  <c r="T21" i="2"/>
  <c r="V20" i="2"/>
  <c r="U20" i="2"/>
  <c r="T20" i="2"/>
  <c r="S20" i="2"/>
  <c r="V19" i="2"/>
  <c r="U19" i="2"/>
  <c r="S19" i="2"/>
  <c r="T18" i="2"/>
  <c r="V18" i="2"/>
  <c r="S18" i="2"/>
  <c r="U18" i="2"/>
  <c r="V17" i="2"/>
  <c r="S16" i="2"/>
  <c r="U15" i="2"/>
  <c r="T15" i="2"/>
  <c r="S15" i="2"/>
  <c r="V15" i="2"/>
  <c r="S14" i="2"/>
  <c r="U13" i="2"/>
  <c r="T13" i="2"/>
  <c r="V13" i="2"/>
  <c r="V12" i="2"/>
  <c r="S12" i="2"/>
  <c r="U12" i="2"/>
  <c r="T12" i="2"/>
  <c r="U14" i="2"/>
  <c r="V70" i="2"/>
  <c r="T62" i="2"/>
  <c r="T54" i="2"/>
  <c r="T46" i="2"/>
  <c r="T38" i="2"/>
  <c r="T30" i="2"/>
  <c r="T22" i="2"/>
  <c r="T14" i="2"/>
  <c r="S70" i="2"/>
  <c r="T70" i="2"/>
  <c r="U65" i="2"/>
  <c r="U41" i="2"/>
  <c r="T65" i="2"/>
  <c r="T57" i="2"/>
  <c r="T49" i="2"/>
  <c r="T41" i="2"/>
  <c r="T33" i="2"/>
  <c r="T25" i="2"/>
  <c r="T17" i="2"/>
  <c r="U33" i="2"/>
  <c r="U25" i="2"/>
  <c r="S65" i="2"/>
  <c r="S57" i="2"/>
  <c r="S49" i="2"/>
  <c r="S41" i="2"/>
  <c r="S33" i="2"/>
  <c r="S25" i="2"/>
  <c r="S17" i="2"/>
  <c r="U17" i="2"/>
  <c r="V64" i="2"/>
  <c r="V56" i="2"/>
  <c r="V48" i="2"/>
  <c r="V40" i="2"/>
  <c r="V32" i="2"/>
  <c r="V24" i="2"/>
  <c r="V16" i="2"/>
  <c r="U49" i="2"/>
  <c r="U64" i="2"/>
  <c r="U56" i="2"/>
  <c r="U48" i="2"/>
  <c r="U40" i="2"/>
  <c r="U32" i="2"/>
  <c r="U24" i="2"/>
  <c r="U16" i="2"/>
  <c r="U57" i="2"/>
  <c r="S10" i="2"/>
  <c r="V10" i="2"/>
  <c r="U10" i="2"/>
  <c r="S9" i="2"/>
  <c r="V9" i="2"/>
  <c r="U9" i="2"/>
  <c r="V8" i="2"/>
  <c r="T8" i="2"/>
  <c r="U8" i="2"/>
  <c r="V7" i="2"/>
  <c r="T7" i="2"/>
  <c r="U7" i="2"/>
  <c r="S7" i="2"/>
  <c r="U6" i="2"/>
  <c r="S6" i="2"/>
  <c r="T6" i="2"/>
  <c r="V11" i="2"/>
  <c r="U11" i="2"/>
  <c r="T11" i="2"/>
  <c r="W22" i="4"/>
  <c r="U50" i="4"/>
  <c r="S50" i="4"/>
  <c r="V50" i="4"/>
  <c r="W50" i="4"/>
  <c r="T50" i="4"/>
  <c r="U7" i="4"/>
  <c r="S7" i="4"/>
  <c r="W7" i="4"/>
  <c r="V7" i="4"/>
  <c r="U15" i="4"/>
  <c r="S15" i="4"/>
  <c r="W15" i="4"/>
  <c r="V15" i="4"/>
  <c r="U31" i="4"/>
  <c r="S31" i="4"/>
  <c r="V31" i="4"/>
  <c r="W31" i="4"/>
  <c r="V49" i="4"/>
  <c r="U49" i="4"/>
  <c r="S49" i="4"/>
  <c r="W49" i="4"/>
  <c r="U9" i="4"/>
  <c r="S9" i="4"/>
  <c r="W9" i="4"/>
  <c r="V9" i="4"/>
  <c r="W35" i="2"/>
  <c r="V35" i="2"/>
  <c r="T35" i="2"/>
  <c r="U35" i="2"/>
  <c r="W21" i="2" l="1"/>
  <c r="U21" i="2"/>
  <c r="V71" i="2"/>
  <c r="S71" i="2"/>
  <c r="T71" i="2"/>
  <c r="U71" i="2"/>
  <c r="G73" i="2"/>
  <c r="W71" i="2"/>
  <c r="M8" i="5"/>
  <c r="G34" i="5"/>
  <c r="L34" i="5" s="1"/>
  <c r="L41" i="5"/>
  <c r="L48" i="5"/>
  <c r="M38" i="5"/>
  <c r="L66" i="5"/>
  <c r="M48" i="5"/>
  <c r="M19" i="5"/>
  <c r="L60" i="5"/>
  <c r="L62" i="5"/>
  <c r="L65" i="5"/>
  <c r="L32" i="5"/>
  <c r="M23" i="5"/>
  <c r="M27" i="5"/>
  <c r="L27" i="5"/>
  <c r="M21" i="5"/>
  <c r="G24" i="5"/>
  <c r="M24" i="5" s="1"/>
  <c r="G29" i="5"/>
  <c r="M29" i="5" s="1"/>
  <c r="M33" i="5"/>
  <c r="L45" i="5"/>
  <c r="L49" i="5"/>
  <c r="L59" i="5"/>
  <c r="M9" i="5"/>
  <c r="L19" i="5"/>
  <c r="L13" i="5"/>
  <c r="M13" i="5"/>
  <c r="M15" i="5"/>
  <c r="M28" i="5"/>
  <c r="M59" i="5"/>
  <c r="G18" i="5"/>
  <c r="M18" i="5" s="1"/>
  <c r="G47" i="5"/>
  <c r="L47" i="5" s="1"/>
  <c r="M62" i="5"/>
  <c r="L15" i="5"/>
  <c r="M22" i="5"/>
  <c r="L50" i="5"/>
  <c r="W23" i="4"/>
  <c r="U47" i="4"/>
  <c r="W28" i="4"/>
  <c r="S28" i="4"/>
  <c r="V28" i="4"/>
  <c r="U28" i="4"/>
  <c r="T27" i="4"/>
  <c r="V27" i="4"/>
  <c r="S27" i="4"/>
  <c r="T5" i="4"/>
  <c r="S5" i="4"/>
  <c r="U5" i="4"/>
  <c r="V5" i="4"/>
  <c r="W5" i="4"/>
  <c r="L9" i="5"/>
  <c r="L51" i="5"/>
  <c r="M51" i="5"/>
  <c r="M53" i="5"/>
  <c r="L53" i="5"/>
  <c r="M39" i="5"/>
  <c r="L39" i="5"/>
  <c r="L43" i="5"/>
  <c r="M43" i="5"/>
  <c r="M68" i="5"/>
  <c r="L68" i="5"/>
  <c r="M40" i="5"/>
  <c r="L40" i="5"/>
  <c r="L56" i="5"/>
  <c r="M14" i="5"/>
  <c r="L14" i="5"/>
  <c r="L44" i="5"/>
  <c r="L10" i="5"/>
  <c r="M42" i="5"/>
  <c r="L42" i="5"/>
  <c r="L57" i="5"/>
  <c r="M63" i="5"/>
  <c r="L63" i="5"/>
  <c r="G6" i="5"/>
  <c r="M10" i="5"/>
  <c r="L26" i="5"/>
  <c r="M30" i="5"/>
  <c r="M31" i="5"/>
  <c r="M44" i="5"/>
  <c r="M55" i="5"/>
  <c r="M57" i="5"/>
  <c r="G69" i="5"/>
  <c r="M11" i="5"/>
  <c r="M54" i="5"/>
  <c r="M56" i="5"/>
  <c r="G7" i="5"/>
  <c r="G12" i="5"/>
  <c r="M16" i="5"/>
  <c r="M17" i="5"/>
  <c r="G20" i="5"/>
  <c r="L21" i="5"/>
  <c r="L25" i="5"/>
  <c r="M35" i="5"/>
  <c r="M36" i="5"/>
  <c r="M37" i="5"/>
  <c r="G46" i="5"/>
  <c r="G52" i="5"/>
  <c r="M52" i="5" s="1"/>
  <c r="M58" i="5"/>
  <c r="M61" i="5"/>
  <c r="L64" i="5"/>
  <c r="M67" i="5"/>
  <c r="M70" i="5"/>
  <c r="L5" i="5"/>
  <c r="L11" i="5"/>
  <c r="L30" i="5"/>
  <c r="L31" i="5"/>
  <c r="L54" i="5"/>
  <c r="L55" i="5"/>
  <c r="L16" i="5"/>
  <c r="L17" i="5"/>
  <c r="L22" i="5"/>
  <c r="L28" i="5"/>
  <c r="L33" i="5"/>
  <c r="L35" i="5"/>
  <c r="L36" i="5"/>
  <c r="L37" i="5"/>
  <c r="L58" i="5"/>
  <c r="L61" i="5"/>
  <c r="L67" i="5"/>
  <c r="M5" i="5"/>
  <c r="U23" i="4"/>
  <c r="V70" i="4"/>
  <c r="U70" i="4"/>
  <c r="S70" i="4"/>
  <c r="T70" i="4"/>
  <c r="T69" i="4"/>
  <c r="V69" i="4"/>
  <c r="W68" i="4"/>
  <c r="U68" i="4"/>
  <c r="S68" i="4"/>
  <c r="V68" i="4"/>
  <c r="V67" i="4"/>
  <c r="S67" i="4"/>
  <c r="U67" i="4"/>
  <c r="T67" i="4"/>
  <c r="W66" i="4"/>
  <c r="S65" i="4"/>
  <c r="W65" i="4"/>
  <c r="U65" i="4"/>
  <c r="V65" i="4"/>
  <c r="W64" i="4"/>
  <c r="S64" i="4"/>
  <c r="U64" i="4"/>
  <c r="V63" i="4"/>
  <c r="S63" i="4"/>
  <c r="U63" i="4"/>
  <c r="T63" i="4"/>
  <c r="T62" i="4"/>
  <c r="S62" i="4"/>
  <c r="U62" i="4"/>
  <c r="V62" i="4"/>
  <c r="V61" i="4"/>
  <c r="S60" i="4"/>
  <c r="U60" i="4"/>
  <c r="V58" i="4"/>
  <c r="U58" i="4"/>
  <c r="S58" i="4"/>
  <c r="W12" i="4"/>
  <c r="U12" i="4"/>
  <c r="T12" i="4"/>
  <c r="V12" i="4"/>
  <c r="S12" i="4"/>
  <c r="T20" i="4"/>
  <c r="U20" i="4"/>
  <c r="V20" i="4"/>
  <c r="W20" i="4"/>
  <c r="S20" i="4"/>
  <c r="V24" i="4"/>
  <c r="W24" i="4"/>
  <c r="S24" i="4"/>
  <c r="T24" i="4"/>
  <c r="U24" i="4"/>
  <c r="W34" i="4"/>
  <c r="W43" i="4"/>
  <c r="T43" i="4"/>
  <c r="V43" i="4"/>
  <c r="S43" i="4"/>
  <c r="U43" i="4"/>
  <c r="S22" i="4"/>
  <c r="S14" i="4"/>
  <c r="T47" i="4"/>
  <c r="V23" i="4"/>
  <c r="W61" i="4"/>
  <c r="S69" i="4"/>
  <c r="T26" i="4"/>
  <c r="AT29" i="4"/>
  <c r="G34" i="4"/>
  <c r="W48" i="4"/>
  <c r="T22" i="4"/>
  <c r="U22" i="4"/>
  <c r="T23" i="4"/>
  <c r="T61" i="4"/>
  <c r="V14" i="4"/>
  <c r="AN29" i="4"/>
  <c r="T66" i="4"/>
  <c r="S36" i="4"/>
  <c r="G29" i="4"/>
  <c r="W29" i="4" s="1"/>
  <c r="T14" i="4"/>
  <c r="S66" i="4"/>
  <c r="S17" i="4"/>
  <c r="T17" i="4"/>
  <c r="G18" i="4"/>
  <c r="G72" i="4" s="1"/>
  <c r="V47" i="4"/>
  <c r="U48" i="4"/>
  <c r="V66" i="4"/>
  <c r="S41" i="4"/>
  <c r="T58" i="4"/>
  <c r="V48" i="4"/>
  <c r="U41" i="4"/>
  <c r="U26" i="4"/>
  <c r="W41" i="4"/>
  <c r="G6" i="4"/>
  <c r="S47" i="4"/>
  <c r="V17" i="4"/>
  <c r="W26" i="4"/>
  <c r="U36" i="4"/>
  <c r="U57" i="4"/>
  <c r="S57" i="4"/>
  <c r="V57" i="4"/>
  <c r="T57" i="4"/>
  <c r="G56" i="4"/>
  <c r="U55" i="4"/>
  <c r="S55" i="4"/>
  <c r="T55" i="4"/>
  <c r="W55" i="4"/>
  <c r="U54" i="4"/>
  <c r="S54" i="4"/>
  <c r="T54" i="4"/>
  <c r="V53" i="4"/>
  <c r="T53" i="4"/>
  <c r="U52" i="4"/>
  <c r="V52" i="4"/>
  <c r="W52" i="4"/>
  <c r="S52" i="4"/>
  <c r="U51" i="4"/>
  <c r="T51" i="4"/>
  <c r="W51" i="4"/>
  <c r="S51" i="4"/>
  <c r="V51" i="4"/>
  <c r="G72" i="5" l="1"/>
  <c r="L24" i="5"/>
  <c r="L18" i="5"/>
  <c r="M34" i="5"/>
  <c r="L29" i="5"/>
  <c r="M47" i="5"/>
  <c r="L52" i="5"/>
  <c r="L12" i="5"/>
  <c r="M12" i="5"/>
  <c r="L46" i="5"/>
  <c r="M46" i="5"/>
  <c r="L6" i="5"/>
  <c r="M6" i="5"/>
  <c r="L20" i="5"/>
  <c r="M20" i="5"/>
  <c r="L7" i="5"/>
  <c r="M7" i="5"/>
  <c r="L69" i="5"/>
  <c r="M69" i="5"/>
  <c r="T29" i="4"/>
  <c r="W6" i="4"/>
  <c r="U18" i="4"/>
  <c r="W18" i="4"/>
  <c r="S18" i="4"/>
  <c r="V18" i="4"/>
  <c r="S6" i="4"/>
  <c r="V6" i="4"/>
  <c r="U6" i="4"/>
  <c r="T6" i="4"/>
  <c r="T18" i="4"/>
  <c r="U29" i="4"/>
  <c r="V29" i="4"/>
  <c r="S29" i="4"/>
  <c r="V34" i="4"/>
  <c r="S34" i="4"/>
  <c r="U34" i="4"/>
  <c r="T34" i="4"/>
  <c r="T56" i="4"/>
  <c r="S56" i="4"/>
  <c r="V56" i="4"/>
  <c r="U56" i="4"/>
  <c r="W5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tc={0F4D752D-C8BD-43C0-84EE-CB3C04833EAF}</author>
    <author>tc={878192E0-CFBE-482E-B266-406DB591991E}</author>
  </authors>
  <commentList>
    <comment ref="R59" authorId="0" shapeId="0" xr:uid="{0F4D752D-C8BD-43C0-84EE-CB3C04833EAF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intervals 55-56</t>
      </text>
    </comment>
    <comment ref="Z59" authorId="1" shapeId="0" xr:uid="{878192E0-CFBE-482E-B266-406DB591991E}">
      <text>
        <t>[Threaded comment]
Your version of Excel allows you to read this threaded comment; however, any edits to it will get removed if the file is opened in a newer version of Excel. Learn more: https://go.microsoft.com/fwlink/?linkid=870924
Comment:
    unsieved black spot material; interval 55-56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tc={EE2DCDD7-1E8B-4057-AD22-09A72B341D15}</author>
    <author>tc={CBC332F7-14D6-407A-830A-15DEBE89F121}</author>
    <author>tc={4A20C0E3-5B6E-40C0-97B7-DB75C08A8067}</author>
    <author>tc={ECFB8CBD-68EC-4283-B0EB-501AD52FA830}</author>
    <author>tc={BDF200C1-0187-4666-A129-F05644EF5831}</author>
    <author>tc={9E70850D-5104-4A56-B1E3-D01602D3C42C}</author>
    <author>tc={BD58DA56-B9FB-431C-B657-C49773A66946}</author>
    <author>tc={0EDD24B6-3A78-4A73-A10B-42E4B8322DFC}</author>
    <author>tc={3C85EB00-D982-4739-8A0E-7A28D9E15D5E}</author>
  </authors>
  <commentList>
    <comment ref="G22" authorId="0" shapeId="0" xr:uid="{EE2DCDD7-1E8B-4057-AD22-09A72B341D15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Note, this interval has the weight of clast  ,1072, but the clast ranges from interval 17-19.</t>
      </text>
    </comment>
    <comment ref="H22" authorId="1" shapeId="0" xr:uid="{CBC332F7-14D6-407A-830A-15DEBE89F121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this clast ranges from interval 17-19, and in the lunar database it is located in interval 19, not interval 18 as it should have been.</t>
      </text>
    </comment>
    <comment ref="AA22" authorId="2" shapeId="0" xr:uid="{4A20C0E3-5B6E-40C0-97B7-DB75C08A8067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Note, this clast ranges from interval 17-19.</t>
      </text>
    </comment>
    <comment ref="D37" authorId="3" shapeId="0" xr:uid="{ECFB8CBD-68EC-4283-B0EB-501AD52FA830}">
      <text>
        <t>[Threaded comment]
Your version of Excel allows you to read this threaded comment; however, any edits to it will get removed if the file is opened in a newer version of Excel. Learn more: https://go.microsoft.com/fwlink/?linkid=870924
Comment:
    Interval only partically dissected, hence low total weight.</t>
      </text>
    </comment>
    <comment ref="Q37" authorId="4" shapeId="0" xr:uid="{BDF200C1-0187-4666-A129-F05644EF5831}">
      <text>
        <t>[Threaded comment]
Your version of Excel allows you to read this threaded comment; however, any edits to it will get removed if the file is opened in a newer version of Excel. Learn more: https://go.microsoft.com/fwlink/?linkid=870924
Comment:
    Interval only partically dissected, hence low total weight.</t>
      </text>
    </comment>
    <comment ref="D38" authorId="5" shapeId="0" xr:uid="{9E70850D-5104-4A56-B1E3-D01602D3C42C}">
      <text>
        <t>[Threaded comment]
Your version of Excel allows you to read this threaded comment; however, any edits to it will get removed if the file is opened in a newer version of Excel. Learn more: https://go.microsoft.com/fwlink/?linkid=870924
Comment:
    Interval 34-36 were touched by the Teflon wrapped colored calibration bar (picture color calibration bar).</t>
      </text>
    </comment>
    <comment ref="Q38" authorId="6" shapeId="0" xr:uid="{BD58DA56-B9FB-431C-B657-C49773A66946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extra 1gr is from last interval (interval 33) that was only partically dissected.</t>
      </text>
    </comment>
    <comment ref="D39" authorId="7" shapeId="0" xr:uid="{0EDD24B6-3A78-4A73-A10B-42E4B8322DFC}">
      <text>
        <t>[Threaded comment]
Your version of Excel allows you to read this threaded comment; however, any edits to it will get removed if the file is opened in a newer version of Excel. Learn more: https://go.microsoft.com/fwlink/?linkid=870924
Comment:
    Interval 34-36 were touched by the Teflon wrapped colored calibration bar (picture color calibration bar).</t>
      </text>
    </comment>
    <comment ref="D40" authorId="8" shapeId="0" xr:uid="{3C85EB00-D982-4739-8A0E-7A28D9E15D5E}">
      <text>
        <t>[Threaded comment]
Your version of Excel allows you to read this threaded comment; however, any edits to it will get removed if the file is opened in a newer version of Excel. Learn more: https://go.microsoft.com/fwlink/?linkid=870924
Comment:
    Interval 34-36 were touched by the Teflon wrapped colored calibration bar (picture color calibration bar).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tc={A9B1F44A-C62B-4818-B77B-570B4EA98980}</author>
    <author>tc={46AC1586-AA8B-4BF7-A7F6-857DC7E55EFD}</author>
    <author>tc={8FAF6F1C-363F-4A8B-928A-CACBB8E0A31E}</author>
    <author>tc={0D59678F-0D2C-491E-85A2-D504B931B6D2}</author>
    <author>tc={4CF7E41E-33EA-4C4C-99ED-1B8BAAAF893A}</author>
    <author>tc={4BC106CF-9F15-4ACC-94C9-AB96AFB614B8}</author>
    <author>tc={92E93FE3-AFA0-4E18-AADF-D894CC16D8CE}</author>
  </authors>
  <commentList>
    <comment ref="J7" authorId="0" shapeId="0" xr:uid="{A9B1F44A-C62B-4818-B77B-570B4EA98980}">
      <text>
        <t>[Threaded comment]
Your version of Excel allows you to read this threaded comment; however, any edits to it will get removed if the file is opened in a newer version of Excel. Learn more: https://go.microsoft.com/fwlink/?linkid=870924
Comment:
    Ranges from interval 2-4</t>
      </text>
    </comment>
    <comment ref="J15" authorId="1" shapeId="0" xr:uid="{46AC1586-AA8B-4BF7-A7F6-857DC7E55EFD}">
      <text>
        <t>[Threaded comment]
Your version of Excel allows you to read this threaded comment; however, any edits to it will get removed if the file is opened in a newer version of Excel. Learn more: https://go.microsoft.com/fwlink/?linkid=870924
Comment:
    Ranges from Interval 8 to interval 13</t>
      </text>
    </comment>
    <comment ref="J21" authorId="2" shapeId="0" xr:uid="{8FAF6F1C-363F-4A8B-928A-CACBB8E0A31E}">
      <text>
        <t>[Threaded comment]
Your version of Excel allows you to read this threaded comment; however, any edits to it will get removed if the file is opened in a newer version of Excel. Learn more: https://go.microsoft.com/fwlink/?linkid=870924
Comment:
    Ranges from interval 16 to interval 18.</t>
      </text>
    </comment>
    <comment ref="J34" authorId="3" shapeId="0" xr:uid="{0D59678F-0D2C-491E-85A2-D504B931B6D2}">
      <text>
        <t>[Threaded comment]
Your version of Excel allows you to read this threaded comment; however, any edits to it will get removed if the file is opened in a newer version of Excel. Learn more: https://go.microsoft.com/fwlink/?linkid=870924
Comment:
    Ranges from Interval 28 to interval 30.</t>
      </text>
    </comment>
    <comment ref="J43" authorId="4" shapeId="0" xr:uid="{4CF7E41E-33EA-4C4C-99ED-1B8BAAAF893A}">
      <text>
        <t>[Threaded comment]
Your version of Excel allows you to read this threaded comment; however, any edits to it will get removed if the file is opened in a newer version of Excel. Learn more: https://go.microsoft.com/fwlink/?linkid=870924
Comment:
    Ranges from Interval 37 to Interval 40.</t>
      </text>
    </comment>
    <comment ref="J49" authorId="5" shapeId="0" xr:uid="{4BC106CF-9F15-4ACC-94C9-AB96AFB614B8}">
      <text>
        <t>[Threaded comment]
Your version of Excel allows you to read this threaded comment; however, any edits to it will get removed if the file is opened in a newer version of Excel. Learn more: https://go.microsoft.com/fwlink/?linkid=870924
Comment:
    Ranges from Interval 45 to 46.</t>
      </text>
    </comment>
    <comment ref="J54" authorId="6" shapeId="0" xr:uid="{92E93FE3-AFA0-4E18-AADF-D894CC16D8CE}">
      <text>
        <t>[Threaded comment]
Your version of Excel allows you to read this threaded comment; however, any edits to it will get removed if the file is opened in a newer version of Excel. Learn more: https://go.microsoft.com/fwlink/?linkid=870924
Comment:
    Ranges from Interval 48 to Interval 52</t>
      </text>
    </comment>
  </commentList>
</comments>
</file>

<file path=xl/sharedStrings.xml><?xml version="1.0" encoding="utf-8"?>
<sst xmlns="http://schemas.openxmlformats.org/spreadsheetml/2006/main" count="2263" uniqueCount="792">
  <si>
    <t>How to read this spreadsheet:</t>
  </si>
  <si>
    <t>This spreadsheet is to be read from left to right.</t>
  </si>
  <si>
    <t>Rows:</t>
  </si>
  <si>
    <t>Each row represents one interval.</t>
  </si>
  <si>
    <t>Columns:</t>
  </si>
  <si>
    <t>The following columns contain information about specific clasts in the size fraction &gt;10mm and 4-10mm:</t>
  </si>
  <si>
    <t>etc.</t>
  </si>
  <si>
    <t>Interval information</t>
  </si>
  <si>
    <t>Number of clasts</t>
  </si>
  <si>
    <t>Mass (g)</t>
  </si>
  <si>
    <t>% of sample mass</t>
  </si>
  <si>
    <t>Labelled &gt;10 mm and 4-10 mm individual clast information including name (73002,xxx), CT scanning (Y, N), size fraction (mm), and  mass (g)</t>
  </si>
  <si>
    <t>Pass</t>
  </si>
  <si>
    <t xml:space="preserve">Interval # </t>
  </si>
  <si>
    <t>Total interval mass (g)</t>
  </si>
  <si>
    <t>&gt;10 mm</t>
  </si>
  <si>
    <t>4-10 mm</t>
  </si>
  <si>
    <t>2-4 mm</t>
  </si>
  <si>
    <t>1-2 mm</t>
  </si>
  <si>
    <t>Total # clasts</t>
  </si>
  <si>
    <t>&lt;1 mm fines</t>
  </si>
  <si>
    <t>Clast name</t>
  </si>
  <si>
    <t>Size fraction (mm)</t>
  </si>
  <si>
    <t>Individual mass (g)</t>
  </si>
  <si>
    <t>CT scanned (Y, N)</t>
  </si>
  <si>
    <t>CT movie made (x)</t>
  </si>
  <si>
    <t>For example: Pass 2</t>
  </si>
  <si>
    <t>Each pass has its own sheet labled at the bottom of the tabs</t>
  </si>
  <si>
    <t>Number (73001,xxx)</t>
  </si>
  <si>
    <t>ANGSA 73001 interval and clast inventory</t>
  </si>
  <si>
    <t>32.5-32.0</t>
  </si>
  <si>
    <t>32.0-31.5</t>
  </si>
  <si>
    <t>31.5-31.0</t>
  </si>
  <si>
    <t>31.0-30.5</t>
  </si>
  <si>
    <t>30.5-30.0</t>
  </si>
  <si>
    <t>30.0-29.5</t>
  </si>
  <si>
    <t>29.5-29.0</t>
  </si>
  <si>
    <t>29.0-28.5</t>
  </si>
  <si>
    <t>28.5-28.0</t>
  </si>
  <si>
    <t>28.0-27.5</t>
  </si>
  <si>
    <t>27.5-27.0</t>
  </si>
  <si>
    <t>27.0-26.5</t>
  </si>
  <si>
    <t>26.5-26.0</t>
  </si>
  <si>
    <t>26.0-25.5</t>
  </si>
  <si>
    <t>25.5-25.0</t>
  </si>
  <si>
    <t>25.0-24.5</t>
  </si>
  <si>
    <t>24.5-24.0</t>
  </si>
  <si>
    <t>24.0-23.5</t>
  </si>
  <si>
    <t>23.5-23.0</t>
  </si>
  <si>
    <t>23.0-22.5</t>
  </si>
  <si>
    <t>22.5-22.0</t>
  </si>
  <si>
    <t>22.0-21.5</t>
  </si>
  <si>
    <t>21.5-21.0</t>
  </si>
  <si>
    <t>21.0-20.5</t>
  </si>
  <si>
    <t>20.5-20.0</t>
  </si>
  <si>
    <t>20.0-19.5</t>
  </si>
  <si>
    <t>19.5-19.0</t>
  </si>
  <si>
    <t>19.0-18.5</t>
  </si>
  <si>
    <t>18.5-18.0</t>
  </si>
  <si>
    <t>18.0-17.5</t>
  </si>
  <si>
    <t>17.5-17.0</t>
  </si>
  <si>
    <t>17.0-16.5</t>
  </si>
  <si>
    <t>16.5-16.0</t>
  </si>
  <si>
    <t>16.0-15.5</t>
  </si>
  <si>
    <t>14.0-13.5</t>
  </si>
  <si>
    <t>13.5-13.0</t>
  </si>
  <si>
    <t>13.0-12.5</t>
  </si>
  <si>
    <t>12.5-12.0</t>
  </si>
  <si>
    <t>12.0-11.5</t>
  </si>
  <si>
    <t>11.5-11.0</t>
  </si>
  <si>
    <t>11.0-10.5</t>
  </si>
  <si>
    <t>10.5-10.0</t>
  </si>
  <si>
    <t>10.0-9.5</t>
  </si>
  <si>
    <t>9.5-9.0</t>
  </si>
  <si>
    <t>9.0-8.5</t>
  </si>
  <si>
    <t>8.5-8.0</t>
  </si>
  <si>
    <t>8.0-7.5</t>
  </si>
  <si>
    <t>7.5-7.0</t>
  </si>
  <si>
    <t>7.0-6.5</t>
  </si>
  <si>
    <t>6.5-6.0</t>
  </si>
  <si>
    <t>6.0-5.5</t>
  </si>
  <si>
    <t>5.5-5.0</t>
  </si>
  <si>
    <t>5.0-4.5</t>
  </si>
  <si>
    <t>4.5-4.0</t>
  </si>
  <si>
    <t>4.0-3.5</t>
  </si>
  <si>
    <t>3.5-3.0</t>
  </si>
  <si>
    <t>3.0-2.5</t>
  </si>
  <si>
    <t>2.5-2.0</t>
  </si>
  <si>
    <t>2.0-1.5</t>
  </si>
  <si>
    <t>1.5-1.0</t>
  </si>
  <si>
    <t>1.0-0.5</t>
  </si>
  <si>
    <t>0.5-0</t>
  </si>
  <si>
    <t>15.5-15.0</t>
  </si>
  <si>
    <t>15.0-14.5</t>
  </si>
  <si>
    <t>14.5-14.0</t>
  </si>
  <si>
    <t>A</t>
  </si>
  <si>
    <t>B</t>
  </si>
  <si>
    <t xml:space="preserve"> ,169</t>
  </si>
  <si>
    <t xml:space="preserve"> ,165</t>
  </si>
  <si>
    <t>4-10</t>
  </si>
  <si>
    <t xml:space="preserve"> ,173</t>
  </si>
  <si>
    <t>Parent number (73001,xxx)</t>
  </si>
  <si>
    <t xml:space="preserve"> ,174</t>
  </si>
  <si>
    <t xml:space="preserve"> ,172</t>
  </si>
  <si>
    <t xml:space="preserve"> ,170 </t>
  </si>
  <si>
    <t xml:space="preserve"> ,175</t>
  </si>
  <si>
    <t xml:space="preserve"> ,176</t>
  </si>
  <si>
    <t xml:space="preserve"> ,177</t>
  </si>
  <si>
    <t xml:space="preserve"> ,178</t>
  </si>
  <si>
    <t xml:space="preserve"> ,179</t>
  </si>
  <si>
    <t xml:space="preserve"> ,180</t>
  </si>
  <si>
    <t xml:space="preserve"> ,182</t>
  </si>
  <si>
    <t>&gt;10</t>
  </si>
  <si>
    <t xml:space="preserve"> ,181</t>
  </si>
  <si>
    <t>C</t>
  </si>
  <si>
    <t xml:space="preserve"> ,183</t>
  </si>
  <si>
    <t xml:space="preserve"> ,184</t>
  </si>
  <si>
    <t xml:space="preserve"> ,185</t>
  </si>
  <si>
    <t xml:space="preserve"> ,186</t>
  </si>
  <si>
    <t xml:space="preserve"> ,187</t>
  </si>
  <si>
    <t xml:space="preserve"> ,188</t>
  </si>
  <si>
    <t xml:space="preserve"> ,189</t>
  </si>
  <si>
    <t xml:space="preserve"> ,190</t>
  </si>
  <si>
    <t>D</t>
  </si>
  <si>
    <t xml:space="preserve"> ,191</t>
  </si>
  <si>
    <t xml:space="preserve"> ,192</t>
  </si>
  <si>
    <t xml:space="preserve"> ,193 </t>
  </si>
  <si>
    <t xml:space="preserve"> ,194</t>
  </si>
  <si>
    <t>4-10mm</t>
  </si>
  <si>
    <t xml:space="preserve"> ,195</t>
  </si>
  <si>
    <t xml:space="preserve"> ,196</t>
  </si>
  <si>
    <t xml:space="preserve"> ,197</t>
  </si>
  <si>
    <t xml:space="preserve"> ,198</t>
  </si>
  <si>
    <t xml:space="preserve"> ,199</t>
  </si>
  <si>
    <t xml:space="preserve"> ,200</t>
  </si>
  <si>
    <t xml:space="preserve"> ,201</t>
  </si>
  <si>
    <t xml:space="preserve"> ,202</t>
  </si>
  <si>
    <t xml:space="preserve"> ,203</t>
  </si>
  <si>
    <t xml:space="preserve"> ,204</t>
  </si>
  <si>
    <t xml:space="preserve"> ,205</t>
  </si>
  <si>
    <t xml:space="preserve"> ,209</t>
  </si>
  <si>
    <t xml:space="preserve"> ,109</t>
  </si>
  <si>
    <t xml:space="preserve"> ,208</t>
  </si>
  <si>
    <t xml:space="preserve"> ,207</t>
  </si>
  <si>
    <t xml:space="preserve"> ,206</t>
  </si>
  <si>
    <t xml:space="preserve"> ,210</t>
  </si>
  <si>
    <t xml:space="preserve"> ,211</t>
  </si>
  <si>
    <t xml:space="preserve"> ,212</t>
  </si>
  <si>
    <t xml:space="preserve"> ,213</t>
  </si>
  <si>
    <t xml:space="preserve"> ,214</t>
  </si>
  <si>
    <t xml:space="preserve"> ,215</t>
  </si>
  <si>
    <t xml:space="preserve"> ,216</t>
  </si>
  <si>
    <t xml:space="preserve"> ,217</t>
  </si>
  <si>
    <t xml:space="preserve"> ,218</t>
  </si>
  <si>
    <t xml:space="preserve"> ,219</t>
  </si>
  <si>
    <t xml:space="preserve"> ,220</t>
  </si>
  <si>
    <t xml:space="preserve"> ,221</t>
  </si>
  <si>
    <t xml:space="preserve"> ,222</t>
  </si>
  <si>
    <t xml:space="preserve"> ,223</t>
  </si>
  <si>
    <t xml:space="preserve"> ,224</t>
  </si>
  <si>
    <t xml:space="preserve"> ,225</t>
  </si>
  <si>
    <t xml:space="preserve"> ,226</t>
  </si>
  <si>
    <t>Special</t>
  </si>
  <si>
    <t xml:space="preserve"> ,227</t>
  </si>
  <si>
    <t>Black spot</t>
  </si>
  <si>
    <t xml:space="preserve"> ,228</t>
  </si>
  <si>
    <t xml:space="preserve"> ,229</t>
  </si>
  <si>
    <t xml:space="preserve"> ,230</t>
  </si>
  <si>
    <t xml:space="preserve"> ,231</t>
  </si>
  <si>
    <t xml:space="preserve"> ,232</t>
  </si>
  <si>
    <t xml:space="preserve"> ,233</t>
  </si>
  <si>
    <t xml:space="preserve"> ,234</t>
  </si>
  <si>
    <t xml:space="preserve"> ,235</t>
  </si>
  <si>
    <t xml:space="preserve"> ,239</t>
  </si>
  <si>
    <t xml:space="preserve"> ,238</t>
  </si>
  <si>
    <t xml:space="preserve"> ,237</t>
  </si>
  <si>
    <t xml:space="preserve"> ,236</t>
  </si>
  <si>
    <t xml:space="preserve"> ,240</t>
  </si>
  <si>
    <t xml:space="preserve"> ,241</t>
  </si>
  <si>
    <t xml:space="preserve"> ,242</t>
  </si>
  <si>
    <t xml:space="preserve"> ,243</t>
  </si>
  <si>
    <t xml:space="preserve"> ,244</t>
  </si>
  <si>
    <t xml:space="preserve"> ,245</t>
  </si>
  <si>
    <t xml:space="preserve"> ,246</t>
  </si>
  <si>
    <t xml:space="preserve"> ,247</t>
  </si>
  <si>
    <t xml:space="preserve"> ,248</t>
  </si>
  <si>
    <t xml:space="preserve"> ,249</t>
  </si>
  <si>
    <t xml:space="preserve"> ,250</t>
  </si>
  <si>
    <t xml:space="preserve"> ,251</t>
  </si>
  <si>
    <t xml:space="preserve"> ,252</t>
  </si>
  <si>
    <t xml:space="preserve"> ,253</t>
  </si>
  <si>
    <t xml:space="preserve"> ,254</t>
  </si>
  <si>
    <t xml:space="preserve"> ,255</t>
  </si>
  <si>
    <t xml:space="preserve"> ,256</t>
  </si>
  <si>
    <t xml:space="preserve"> ,257</t>
  </si>
  <si>
    <t xml:space="preserve"> ,258</t>
  </si>
  <si>
    <t xml:space="preserve"> ,259</t>
  </si>
  <si>
    <t xml:space="preserve"> ,260</t>
  </si>
  <si>
    <t xml:space="preserve"> ,261</t>
  </si>
  <si>
    <t xml:space="preserve"> ,262</t>
  </si>
  <si>
    <t xml:space="preserve"> ,263</t>
  </si>
  <si>
    <t xml:space="preserve"> ,11</t>
  </si>
  <si>
    <t xml:space="preserve"> ,12</t>
  </si>
  <si>
    <t xml:space="preserve"> ,13</t>
  </si>
  <si>
    <t xml:space="preserve"> ,14</t>
  </si>
  <si>
    <t xml:space="preserve"> ,15</t>
  </si>
  <si>
    <t xml:space="preserve"> ,16</t>
  </si>
  <si>
    <t xml:space="preserve"> ,17</t>
  </si>
  <si>
    <t xml:space="preserve"> ,18</t>
  </si>
  <si>
    <t xml:space="preserve"> </t>
  </si>
  <si>
    <t xml:space="preserve"> ,37</t>
  </si>
  <si>
    <t xml:space="preserve"> ,38</t>
  </si>
  <si>
    <t xml:space="preserve"> ,36</t>
  </si>
  <si>
    <t xml:space="preserve"> ,35</t>
  </si>
  <si>
    <t xml:space="preserve"> ,19</t>
  </si>
  <si>
    <t xml:space="preserve"> ,20</t>
  </si>
  <si>
    <t xml:space="preserve"> ,21</t>
  </si>
  <si>
    <t xml:space="preserve"> ,22</t>
  </si>
  <si>
    <t xml:space="preserve"> ,23</t>
  </si>
  <si>
    <t xml:space="preserve"> ,24</t>
  </si>
  <si>
    <t xml:space="preserve"> ,25</t>
  </si>
  <si>
    <t xml:space="preserve"> ,26</t>
  </si>
  <si>
    <t xml:space="preserve"> ,27</t>
  </si>
  <si>
    <t xml:space="preserve"> ,28</t>
  </si>
  <si>
    <t xml:space="preserve"> ,29</t>
  </si>
  <si>
    <t xml:space="preserve"> ,30</t>
  </si>
  <si>
    <t xml:space="preserve"> ,31</t>
  </si>
  <si>
    <t xml:space="preserve"> ,32</t>
  </si>
  <si>
    <t xml:space="preserve"> ,33</t>
  </si>
  <si>
    <t xml:space="preserve"> ,34</t>
  </si>
  <si>
    <t xml:space="preserve"> ,39</t>
  </si>
  <si>
    <t xml:space="preserve"> ,40</t>
  </si>
  <si>
    <t xml:space="preserve"> ,41</t>
  </si>
  <si>
    <t xml:space="preserve"> ,42</t>
  </si>
  <si>
    <t xml:space="preserve"> ,43</t>
  </si>
  <si>
    <t xml:space="preserve"> ,44</t>
  </si>
  <si>
    <t xml:space="preserve"> ,45</t>
  </si>
  <si>
    <t xml:space="preserve"> ,46</t>
  </si>
  <si>
    <t xml:space="preserve"> ,47</t>
  </si>
  <si>
    <t xml:space="preserve"> ,48</t>
  </si>
  <si>
    <t xml:space="preserve"> ,55</t>
  </si>
  <si>
    <t xml:space="preserve"> ,56</t>
  </si>
  <si>
    <t xml:space="preserve"> ,67</t>
  </si>
  <si>
    <t xml:space="preserve"> ,66</t>
  </si>
  <si>
    <t xml:space="preserve"> ,65</t>
  </si>
  <si>
    <t xml:space="preserve"> ,64</t>
  </si>
  <si>
    <t xml:space="preserve"> ,68</t>
  </si>
  <si>
    <t xml:space="preserve"> ,69</t>
  </si>
  <si>
    <t xml:space="preserve"> ,70</t>
  </si>
  <si>
    <t xml:space="preserve"> ,71</t>
  </si>
  <si>
    <t xml:space="preserve"> ,72</t>
  </si>
  <si>
    <t xml:space="preserve"> ,73</t>
  </si>
  <si>
    <t xml:space="preserve"> ,74</t>
  </si>
  <si>
    <t xml:space="preserve"> ,75</t>
  </si>
  <si>
    <t xml:space="preserve"> ,61</t>
  </si>
  <si>
    <t xml:space="preserve"> ,62</t>
  </si>
  <si>
    <t xml:space="preserve"> ,63</t>
  </si>
  <si>
    <t xml:space="preserve"> ,57</t>
  </si>
  <si>
    <t xml:space="preserve"> ,58</t>
  </si>
  <si>
    <t xml:space="preserve"> ,59</t>
  </si>
  <si>
    <t xml:space="preserve"> ,60</t>
  </si>
  <si>
    <t xml:space="preserve"> ,49</t>
  </si>
  <si>
    <t xml:space="preserve"> ,50</t>
  </si>
  <si>
    <t xml:space="preserve"> ,51</t>
  </si>
  <si>
    <t xml:space="preserve"> ,52</t>
  </si>
  <si>
    <t xml:space="preserve"> ,53</t>
  </si>
  <si>
    <t xml:space="preserve"> ,54</t>
  </si>
  <si>
    <t xml:space="preserve"> ,76</t>
  </si>
  <si>
    <t xml:space="preserve"> ,77</t>
  </si>
  <si>
    <t xml:space="preserve"> ,78</t>
  </si>
  <si>
    <t xml:space="preserve"> ,79</t>
  </si>
  <si>
    <t xml:space="preserve"> ,80</t>
  </si>
  <si>
    <t xml:space="preserve"> ,81</t>
  </si>
  <si>
    <t xml:space="preserve"> ,82</t>
  </si>
  <si>
    <t xml:space="preserve"> ,83</t>
  </si>
  <si>
    <t xml:space="preserve"> ,84</t>
  </si>
  <si>
    <t xml:space="preserve"> ,85</t>
  </si>
  <si>
    <t xml:space="preserve"> ,86</t>
  </si>
  <si>
    <t xml:space="preserve"> ,87</t>
  </si>
  <si>
    <t xml:space="preserve"> ,88</t>
  </si>
  <si>
    <t xml:space="preserve"> ,89</t>
  </si>
  <si>
    <t xml:space="preserve"> ,90</t>
  </si>
  <si>
    <t xml:space="preserve"> ,91</t>
  </si>
  <si>
    <t xml:space="preserve"> ,92</t>
  </si>
  <si>
    <t xml:space="preserve"> ,93</t>
  </si>
  <si>
    <t xml:space="preserve"> ,94</t>
  </si>
  <si>
    <t xml:space="preserve"> ,95</t>
  </si>
  <si>
    <t xml:space="preserve"> ,96</t>
  </si>
  <si>
    <t xml:space="preserve"> ,97</t>
  </si>
  <si>
    <t xml:space="preserve"> ,98</t>
  </si>
  <si>
    <t xml:space="preserve"> ,99</t>
  </si>
  <si>
    <t xml:space="preserve"> ,100</t>
  </si>
  <si>
    <t xml:space="preserve"> ,101</t>
  </si>
  <si>
    <t xml:space="preserve"> ,102</t>
  </si>
  <si>
    <t>E</t>
  </si>
  <si>
    <t xml:space="preserve"> ,103</t>
  </si>
  <si>
    <t xml:space="preserve"> ,104</t>
  </si>
  <si>
    <t xml:space="preserve"> ,105</t>
  </si>
  <si>
    <t xml:space="preserve"> ,106</t>
  </si>
  <si>
    <t xml:space="preserve"> ,107</t>
  </si>
  <si>
    <t xml:space="preserve"> ,108</t>
  </si>
  <si>
    <t xml:space="preserve"> ,110</t>
  </si>
  <si>
    <t xml:space="preserve"> ,111</t>
  </si>
  <si>
    <t xml:space="preserve"> ,112</t>
  </si>
  <si>
    <t xml:space="preserve"> ,113</t>
  </si>
  <si>
    <t xml:space="preserve"> ,114</t>
  </si>
  <si>
    <t xml:space="preserve"> ,115</t>
  </si>
  <si>
    <t xml:space="preserve"> ,116</t>
  </si>
  <si>
    <t xml:space="preserve"> ,117</t>
  </si>
  <si>
    <t xml:space="preserve"> ,118</t>
  </si>
  <si>
    <t xml:space="preserve"> ,119</t>
  </si>
  <si>
    <t xml:space="preserve"> ,120</t>
  </si>
  <si>
    <t xml:space="preserve"> ,121</t>
  </si>
  <si>
    <t xml:space="preserve"> ,122</t>
  </si>
  <si>
    <t xml:space="preserve"> ,123</t>
  </si>
  <si>
    <t xml:space="preserve"> ,124</t>
  </si>
  <si>
    <t xml:space="preserve"> ,125</t>
  </si>
  <si>
    <t xml:space="preserve"> ,126</t>
  </si>
  <si>
    <t xml:space="preserve"> ,127</t>
  </si>
  <si>
    <t xml:space="preserve"> ,128</t>
  </si>
  <si>
    <t xml:space="preserve"> ,129</t>
  </si>
  <si>
    <t xml:space="preserve"> ,130</t>
  </si>
  <si>
    <t xml:space="preserve"> ,131</t>
  </si>
  <si>
    <t xml:space="preserve"> ,132</t>
  </si>
  <si>
    <t xml:space="preserve"> ,133</t>
  </si>
  <si>
    <t xml:space="preserve"> ,134</t>
  </si>
  <si>
    <t xml:space="preserve"> ,135</t>
  </si>
  <si>
    <t xml:space="preserve"> ,136</t>
  </si>
  <si>
    <t xml:space="preserve"> ,137</t>
  </si>
  <si>
    <t xml:space="preserve"> ,138</t>
  </si>
  <si>
    <t xml:space="preserve"> ,139</t>
  </si>
  <si>
    <t xml:space="preserve"> ,140</t>
  </si>
  <si>
    <t xml:space="preserve"> ,141</t>
  </si>
  <si>
    <t xml:space="preserve"> ,142</t>
  </si>
  <si>
    <t xml:space="preserve"> ,143</t>
  </si>
  <si>
    <t xml:space="preserve"> ,144</t>
  </si>
  <si>
    <t xml:space="preserve"> ,145</t>
  </si>
  <si>
    <t xml:space="preserve"> ,146</t>
  </si>
  <si>
    <t xml:space="preserve"> ,147</t>
  </si>
  <si>
    <t xml:space="preserve"> ,148</t>
  </si>
  <si>
    <t xml:space="preserve"> ,149</t>
  </si>
  <si>
    <t xml:space="preserve"> ,150</t>
  </si>
  <si>
    <t xml:space="preserve"> ,151</t>
  </si>
  <si>
    <t xml:space="preserve"> ,152</t>
  </si>
  <si>
    <t xml:space="preserve"> ,153</t>
  </si>
  <si>
    <t xml:space="preserve"> ,154</t>
  </si>
  <si>
    <t xml:space="preserve"> ,155</t>
  </si>
  <si>
    <t xml:space="preserve"> ,156</t>
  </si>
  <si>
    <t xml:space="preserve"> ,157</t>
  </si>
  <si>
    <t xml:space="preserve"> ,158</t>
  </si>
  <si>
    <t xml:space="preserve"> ,159</t>
  </si>
  <si>
    <t xml:space="preserve"> ,160</t>
  </si>
  <si>
    <t xml:space="preserve"> ,161</t>
  </si>
  <si>
    <t xml:space="preserve"> ,162</t>
  </si>
  <si>
    <t xml:space="preserve"> ,163</t>
  </si>
  <si>
    <t xml:space="preserve"> ,164</t>
  </si>
  <si>
    <t xml:space="preserve"> ,168</t>
  </si>
  <si>
    <t xml:space="preserve"> ,167</t>
  </si>
  <si>
    <t xml:space="preserve"> ,166</t>
  </si>
  <si>
    <t>ANGSA 73001 interval and clast inventory Pass 1</t>
  </si>
  <si>
    <t>Depth from top of core (cm):</t>
  </si>
  <si>
    <t xml:space="preserve"> ,265</t>
  </si>
  <si>
    <t xml:space="preserve"> ,266</t>
  </si>
  <si>
    <t xml:space="preserve"> ,267</t>
  </si>
  <si>
    <t xml:space="preserve"> ,264</t>
  </si>
  <si>
    <t>0.5 - 1.0</t>
  </si>
  <si>
    <t>1.0 - 1.5</t>
  </si>
  <si>
    <t>1.5 - 2.0</t>
  </si>
  <si>
    <t>2.0 - 2.5</t>
  </si>
  <si>
    <t>2.5 - 3.0</t>
  </si>
  <si>
    <t>3.0 - 3.5</t>
  </si>
  <si>
    <t>3.5 - 4.0</t>
  </si>
  <si>
    <t>0.0 - 0.5</t>
  </si>
  <si>
    <t>4.0 - 4.5</t>
  </si>
  <si>
    <t>4.5 - 5.0</t>
  </si>
  <si>
    <t>5.0 - 5.5</t>
  </si>
  <si>
    <t>5.5 - 6.0</t>
  </si>
  <si>
    <t>6.0 - 6.5</t>
  </si>
  <si>
    <t>6.5 - 7.0</t>
  </si>
  <si>
    <t>7.0 - 7.5</t>
  </si>
  <si>
    <t>7.5 - 8.0</t>
  </si>
  <si>
    <t>8.0 - 8.5</t>
  </si>
  <si>
    <t>8.5 - 9.0</t>
  </si>
  <si>
    <t>9.0 - 9.5</t>
  </si>
  <si>
    <t>9.5 - 10.0</t>
  </si>
  <si>
    <t>10.0 - 10.5</t>
  </si>
  <si>
    <t>10.5 -11.0</t>
  </si>
  <si>
    <t>11.5 - 12.0</t>
  </si>
  <si>
    <t>12.0 - 12.5</t>
  </si>
  <si>
    <t>12.5 - 13.0</t>
  </si>
  <si>
    <t>13.0 - 13.5</t>
  </si>
  <si>
    <t>13.5 - 14.0</t>
  </si>
  <si>
    <t>14.0 - 14.5</t>
  </si>
  <si>
    <t>14.5 - 15.0</t>
  </si>
  <si>
    <t>15.0 -15.5</t>
  </si>
  <si>
    <t>15.5 - 16.0</t>
  </si>
  <si>
    <t>16.0 - 16.5</t>
  </si>
  <si>
    <t>16.5 - 17.0</t>
  </si>
  <si>
    <t>17.0 - 17.5</t>
  </si>
  <si>
    <t>17.5 - 18.0</t>
  </si>
  <si>
    <t>18.0 -18.5</t>
  </si>
  <si>
    <t>18.5 - 19.0</t>
  </si>
  <si>
    <t>19.0 - 19.5</t>
  </si>
  <si>
    <t>19.5 - 20.0</t>
  </si>
  <si>
    <t>20.0 - 20.5</t>
  </si>
  <si>
    <t>20.5 - 21.0</t>
  </si>
  <si>
    <t>21.0 - 21.5</t>
  </si>
  <si>
    <t>21.5 - 22.0</t>
  </si>
  <si>
    <t>22.0 - 22.5</t>
  </si>
  <si>
    <t>22.5 - 23.0</t>
  </si>
  <si>
    <t>23.0 - 23.5</t>
  </si>
  <si>
    <t>23.5 - 24.0</t>
  </si>
  <si>
    <t>24.0 - 24.5</t>
  </si>
  <si>
    <t>24.5 - 25.0</t>
  </si>
  <si>
    <t>25.0 - 25.5</t>
  </si>
  <si>
    <t>25.5 - 26.0</t>
  </si>
  <si>
    <t>26.0 - 26.5</t>
  </si>
  <si>
    <t>26.5 - 27.0</t>
  </si>
  <si>
    <t>27.0 - 27.5</t>
  </si>
  <si>
    <t xml:space="preserve">27.5 - 28.0 </t>
  </si>
  <si>
    <t>28.0 - 28.5</t>
  </si>
  <si>
    <t>28.5 - 29.0</t>
  </si>
  <si>
    <t>29.0 - 29.5</t>
  </si>
  <si>
    <t>29.5 - 30.0</t>
  </si>
  <si>
    <t>30.0 - 30.5</t>
  </si>
  <si>
    <t>30.5 - 31.0</t>
  </si>
  <si>
    <t>31.0 - 31.5</t>
  </si>
  <si>
    <t>31.5 - 32.0</t>
  </si>
  <si>
    <t>32.0 - 32.5</t>
  </si>
  <si>
    <t>32.5 - 33.0</t>
  </si>
  <si>
    <t>11.0 - 11.5</t>
  </si>
  <si>
    <t>Date of dissection</t>
  </si>
  <si>
    <t>Interval (cm)</t>
  </si>
  <si>
    <t xml:space="preserve"> -</t>
  </si>
  <si>
    <t xml:space="preserve"> - </t>
  </si>
  <si>
    <t>-</t>
  </si>
  <si>
    <t>ANGSA 73001 interval and clast inventory Pass 2</t>
  </si>
  <si>
    <t xml:space="preserve"> ,1001</t>
  </si>
  <si>
    <t xml:space="preserve"> ,1002</t>
  </si>
  <si>
    <t xml:space="preserve"> ,1003</t>
  </si>
  <si>
    <t xml:space="preserve"> ,1005</t>
  </si>
  <si>
    <t xml:space="preserve"> ,1006</t>
  </si>
  <si>
    <t xml:space="preserve"> ,1007</t>
  </si>
  <si>
    <t xml:space="preserve"> ,1008</t>
  </si>
  <si>
    <t xml:space="preserve"> ,1009</t>
  </si>
  <si>
    <t xml:space="preserve"> ,1010</t>
  </si>
  <si>
    <t xml:space="preserve"> ,1011</t>
  </si>
  <si>
    <t xml:space="preserve"> ,1012</t>
  </si>
  <si>
    <t xml:space="preserve"> ,1013</t>
  </si>
  <si>
    <t xml:space="preserve"> ,1014</t>
  </si>
  <si>
    <t xml:space="preserve"> ,1015</t>
  </si>
  <si>
    <t xml:space="preserve"> ,1016</t>
  </si>
  <si>
    <t xml:space="preserve"> ,1017</t>
  </si>
  <si>
    <t>Y</t>
  </si>
  <si>
    <t xml:space="preserve"> ,1021</t>
  </si>
  <si>
    <t xml:space="preserve"> ,1018</t>
  </si>
  <si>
    <t xml:space="preserve"> ,1019</t>
  </si>
  <si>
    <t xml:space="preserve"> ,1020</t>
  </si>
  <si>
    <t xml:space="preserve"> ,2022</t>
  </si>
  <si>
    <t xml:space="preserve"> ,1023</t>
  </si>
  <si>
    <t xml:space="preserve"> ,1024</t>
  </si>
  <si>
    <t xml:space="preserve"> ,1025</t>
  </si>
  <si>
    <t xml:space="preserve"> ,1048</t>
  </si>
  <si>
    <t xml:space="preserve"> ,1047</t>
  </si>
  <si>
    <t xml:space="preserve"> ,1046</t>
  </si>
  <si>
    <t xml:space="preserve"> ,1045</t>
  </si>
  <si>
    <t xml:space="preserve"> ,1044</t>
  </si>
  <si>
    <t xml:space="preserve"> ,1043</t>
  </si>
  <si>
    <t xml:space="preserve"> ,1042</t>
  </si>
  <si>
    <t xml:space="preserve"> ,1041</t>
  </si>
  <si>
    <t xml:space="preserve"> ,1040</t>
  </si>
  <si>
    <t xml:space="preserve"> ,1039</t>
  </si>
  <si>
    <t xml:space="preserve"> ,1038</t>
  </si>
  <si>
    <t xml:space="preserve"> ,1037</t>
  </si>
  <si>
    <t xml:space="preserve"> ,1036</t>
  </si>
  <si>
    <t xml:space="preserve"> ,1035</t>
  </si>
  <si>
    <t xml:space="preserve"> ,1034</t>
  </si>
  <si>
    <t xml:space="preserve"> ,1033</t>
  </si>
  <si>
    <t xml:space="preserve"> ,1052</t>
  </si>
  <si>
    <t xml:space="preserve"> ,1051</t>
  </si>
  <si>
    <t xml:space="preserve"> ,1050</t>
  </si>
  <si>
    <t xml:space="preserve"> ,1049</t>
  </si>
  <si>
    <t xml:space="preserve"> ,1053</t>
  </si>
  <si>
    <t xml:space="preserve"> ,1054</t>
  </si>
  <si>
    <t xml:space="preserve"> ,1055</t>
  </si>
  <si>
    <t xml:space="preserve"> ,1056</t>
  </si>
  <si>
    <t xml:space="preserve"> ,1057</t>
  </si>
  <si>
    <t xml:space="preserve"> ,1058</t>
  </si>
  <si>
    <t xml:space="preserve"> ,1059</t>
  </si>
  <si>
    <t xml:space="preserve"> ,1060</t>
  </si>
  <si>
    <t xml:space="preserve"> ,1064</t>
  </si>
  <si>
    <t xml:space="preserve"> ,1063</t>
  </si>
  <si>
    <t xml:space="preserve"> ,1062</t>
  </si>
  <si>
    <t xml:space="preserve"> ,1061</t>
  </si>
  <si>
    <t xml:space="preserve"> ,1065</t>
  </si>
  <si>
    <t xml:space="preserve"> ,1066</t>
  </si>
  <si>
    <t xml:space="preserve"> ,1067</t>
  </si>
  <si>
    <t>Enjoy :-) Cheers Juliane</t>
  </si>
  <si>
    <t>bottom</t>
  </si>
  <si>
    <t>fell out during opening</t>
  </si>
  <si>
    <t xml:space="preserve"> ,2</t>
  </si>
  <si>
    <t xml:space="preserve"> ,1</t>
  </si>
  <si>
    <t>y</t>
  </si>
  <si>
    <t>Columns AG - AL contain information about Clast A in each interval</t>
  </si>
  <si>
    <t>Columns AM - AR contain information about Clast B in each interval</t>
  </si>
  <si>
    <t>Columns AS - AX contain information about Clast C in each interval</t>
  </si>
  <si>
    <r>
      <t xml:space="preserve">Columns B to G contain </t>
    </r>
    <r>
      <rPr>
        <b/>
        <i/>
        <sz val="14"/>
        <color theme="1"/>
        <rFont val="Calibri"/>
        <family val="2"/>
        <scheme val="minor"/>
      </rPr>
      <t>general information</t>
    </r>
    <r>
      <rPr>
        <sz val="14"/>
        <color theme="1"/>
        <rFont val="Calibri"/>
        <family val="2"/>
        <scheme val="minor"/>
      </rPr>
      <t xml:space="preserve"> about each interval</t>
    </r>
  </si>
  <si>
    <r>
      <t xml:space="preserve">Columns H to L contain the </t>
    </r>
    <r>
      <rPr>
        <b/>
        <i/>
        <sz val="14"/>
        <color theme="1"/>
        <rFont val="Calibri"/>
        <family val="2"/>
        <scheme val="minor"/>
      </rPr>
      <t>number of clast</t>
    </r>
    <r>
      <rPr>
        <sz val="14"/>
        <color theme="1"/>
        <rFont val="Calibri"/>
        <family val="2"/>
        <scheme val="minor"/>
      </rPr>
      <t xml:space="preserve"> in each size fraction per interval </t>
    </r>
  </si>
  <si>
    <r>
      <t xml:space="preserve">Columns M to R contains the </t>
    </r>
    <r>
      <rPr>
        <b/>
        <i/>
        <sz val="14"/>
        <color theme="1"/>
        <rFont val="Calibri"/>
        <family val="2"/>
        <scheme val="minor"/>
      </rPr>
      <t>mass of each size fraction</t>
    </r>
    <r>
      <rPr>
        <sz val="14"/>
        <color theme="1"/>
        <rFont val="Calibri"/>
        <family val="2"/>
        <scheme val="minor"/>
      </rPr>
      <t xml:space="preserve"> per interval</t>
    </r>
  </si>
  <si>
    <r>
      <t xml:space="preserve">Columns S to X contains the </t>
    </r>
    <r>
      <rPr>
        <b/>
        <i/>
        <sz val="14"/>
        <color theme="1"/>
        <rFont val="Calibri"/>
        <family val="2"/>
        <scheme val="minor"/>
      </rPr>
      <t xml:space="preserve">percent (%) </t>
    </r>
    <r>
      <rPr>
        <sz val="14"/>
        <color theme="1"/>
        <rFont val="Calibri"/>
        <family val="2"/>
        <scheme val="minor"/>
      </rPr>
      <t>that each size fraction represents per interval</t>
    </r>
  </si>
  <si>
    <t xml:space="preserve">Total sample mass [g] from pass 1: </t>
  </si>
  <si>
    <t>XCT scannable clasts:</t>
  </si>
  <si>
    <t>,1068</t>
  </si>
  <si>
    <t>,1069</t>
  </si>
  <si>
    <t>,1070</t>
  </si>
  <si>
    <t>,1073</t>
  </si>
  <si>
    <t>,1074</t>
  </si>
  <si>
    <t>,1075</t>
  </si>
  <si>
    <t>,1077</t>
  </si>
  <si>
    <t>,1078</t>
  </si>
  <si>
    <t>,1079</t>
  </si>
  <si>
    <t>,1080</t>
  </si>
  <si>
    <t xml:space="preserve"> ,1081</t>
  </si>
  <si>
    <t>,1082</t>
  </si>
  <si>
    <t>,1083</t>
  </si>
  <si>
    <t>,1084</t>
  </si>
  <si>
    <t>,1085</t>
  </si>
  <si>
    <t>,1086</t>
  </si>
  <si>
    <t>,1087</t>
  </si>
  <si>
    <t>,1088</t>
  </si>
  <si>
    <t>,1089</t>
  </si>
  <si>
    <t>,1090</t>
  </si>
  <si>
    <t>,1092</t>
  </si>
  <si>
    <t>,1093</t>
  </si>
  <si>
    <t>,1094</t>
  </si>
  <si>
    <t>,1095</t>
  </si>
  <si>
    <t>4-11</t>
  </si>
  <si>
    <t>,1096</t>
  </si>
  <si>
    <t>,1097</t>
  </si>
  <si>
    <t>,1098</t>
  </si>
  <si>
    <t>,1099</t>
  </si>
  <si>
    <t>,1100</t>
  </si>
  <si>
    <t>,1101</t>
  </si>
  <si>
    <t>,1103</t>
  </si>
  <si>
    <t>,1102</t>
  </si>
  <si>
    <t>,1104</t>
  </si>
  <si>
    <t>,1105</t>
  </si>
  <si>
    <t>,1106</t>
  </si>
  <si>
    <t>,1107</t>
  </si>
  <si>
    <t>,1108</t>
  </si>
  <si>
    <t>,1109</t>
  </si>
  <si>
    <t>,1110</t>
  </si>
  <si>
    <t>,1111</t>
  </si>
  <si>
    <t>,1112</t>
  </si>
  <si>
    <t>,1113</t>
  </si>
  <si>
    <t>,1114</t>
  </si>
  <si>
    <t>,1115</t>
  </si>
  <si>
    <t>,1116</t>
  </si>
  <si>
    <t>,1117</t>
  </si>
  <si>
    <t>,1118</t>
  </si>
  <si>
    <t>,1119</t>
  </si>
  <si>
    <t>,1120</t>
  </si>
  <si>
    <t>,1121</t>
  </si>
  <si>
    <t>,1122</t>
  </si>
  <si>
    <t>,1123</t>
  </si>
  <si>
    <t>,1124</t>
  </si>
  <si>
    <t>,1125</t>
  </si>
  <si>
    <t>,1126</t>
  </si>
  <si>
    <t>,1127</t>
  </si>
  <si>
    <t>,1128</t>
  </si>
  <si>
    <t>,1129</t>
  </si>
  <si>
    <t>,1130</t>
  </si>
  <si>
    <t>,1131</t>
  </si>
  <si>
    <t>,1132</t>
  </si>
  <si>
    <t>,1133</t>
  </si>
  <si>
    <t>,1134</t>
  </si>
  <si>
    <t>,1135</t>
  </si>
  <si>
    <t>,1136</t>
  </si>
  <si>
    <t>,1137</t>
  </si>
  <si>
    <t>,1138</t>
  </si>
  <si>
    <t>,1139</t>
  </si>
  <si>
    <t>,1140</t>
  </si>
  <si>
    <t>,1141</t>
  </si>
  <si>
    <t>,1142</t>
  </si>
  <si>
    <t>,1143</t>
  </si>
  <si>
    <t>,1144</t>
  </si>
  <si>
    <t>,1145</t>
  </si>
  <si>
    <t>,1149</t>
  </si>
  <si>
    <t>,1148</t>
  </si>
  <si>
    <t>,1147</t>
  </si>
  <si>
    <t>,1146</t>
  </si>
  <si>
    <t>,1150</t>
  </si>
  <si>
    <t xml:space="preserve"> ,1151</t>
  </si>
  <si>
    <t xml:space="preserve"> ,1152</t>
  </si>
  <si>
    <t>,1153</t>
  </si>
  <si>
    <t>,1154</t>
  </si>
  <si>
    <t>,1155</t>
  </si>
  <si>
    <t>,1156</t>
  </si>
  <si>
    <t>,1157</t>
  </si>
  <si>
    <t>,1158</t>
  </si>
  <si>
    <t>,1159</t>
  </si>
  <si>
    <t>,1160</t>
  </si>
  <si>
    <t>,1161</t>
  </si>
  <si>
    <t>,1162</t>
  </si>
  <si>
    <t>,1163</t>
  </si>
  <si>
    <t>,1164</t>
  </si>
  <si>
    <t>,1165</t>
  </si>
  <si>
    <t>,1166</t>
  </si>
  <si>
    <t>,1167</t>
  </si>
  <si>
    <t>,1168</t>
  </si>
  <si>
    <t>,1169</t>
  </si>
  <si>
    <t>,1170</t>
  </si>
  <si>
    <t>,1171</t>
  </si>
  <si>
    <t>,1172</t>
  </si>
  <si>
    <t>,1173</t>
  </si>
  <si>
    <t>,1174</t>
  </si>
  <si>
    <t>,1175</t>
  </si>
  <si>
    <t>,1176</t>
  </si>
  <si>
    <t>,1177</t>
  </si>
  <si>
    <t>,1178</t>
  </si>
  <si>
    <t>,1179</t>
  </si>
  <si>
    <t>,1180</t>
  </si>
  <si>
    <t>,1181</t>
  </si>
  <si>
    <t>,1182</t>
  </si>
  <si>
    <t>,1183</t>
  </si>
  <si>
    <t>,1184</t>
  </si>
  <si>
    <t>,1185</t>
  </si>
  <si>
    <t>,1186</t>
  </si>
  <si>
    <t>,1187</t>
  </si>
  <si>
    <t>,1188</t>
  </si>
  <si>
    <t>,1189</t>
  </si>
  <si>
    <t>,1190</t>
  </si>
  <si>
    <t>,1191</t>
  </si>
  <si>
    <t>,1192</t>
  </si>
  <si>
    <t>,1193</t>
  </si>
  <si>
    <t>,1194</t>
  </si>
  <si>
    <t>,1195</t>
  </si>
  <si>
    <t>,1196</t>
  </si>
  <si>
    <t>,1197</t>
  </si>
  <si>
    <t>,1198</t>
  </si>
  <si>
    <t>,1199</t>
  </si>
  <si>
    <t>,1200</t>
  </si>
  <si>
    <t>,1201</t>
  </si>
  <si>
    <t>,1202</t>
  </si>
  <si>
    <t>,1203</t>
  </si>
  <si>
    <t>,1204</t>
  </si>
  <si>
    <t>,1205</t>
  </si>
  <si>
    <t>,1206</t>
  </si>
  <si>
    <t>,1207</t>
  </si>
  <si>
    <t>,1208</t>
  </si>
  <si>
    <t>,1209</t>
  </si>
  <si>
    <t>,1210</t>
  </si>
  <si>
    <t xml:space="preserve"> ,1211</t>
  </si>
  <si>
    <t>,1212</t>
  </si>
  <si>
    <t>,1213</t>
  </si>
  <si>
    <t>,1214</t>
  </si>
  <si>
    <t>,1215</t>
  </si>
  <si>
    <t>,1216</t>
  </si>
  <si>
    <t>,1217</t>
  </si>
  <si>
    <t>,1218</t>
  </si>
  <si>
    <t>,1219</t>
  </si>
  <si>
    <t>,1220</t>
  </si>
  <si>
    <t>,1221</t>
  </si>
  <si>
    <t>,1222</t>
  </si>
  <si>
    <t>,1223</t>
  </si>
  <si>
    <t>,1224</t>
  </si>
  <si>
    <t>,1225</t>
  </si>
  <si>
    <t>,1226</t>
  </si>
  <si>
    <t>,1227</t>
  </si>
  <si>
    <t>,1228</t>
  </si>
  <si>
    <t>,1229</t>
  </si>
  <si>
    <t>,1230</t>
  </si>
  <si>
    <t>,1231</t>
  </si>
  <si>
    <t>,1232</t>
  </si>
  <si>
    <t>,1233</t>
  </si>
  <si>
    <t>,1234</t>
  </si>
  <si>
    <t>,1235</t>
  </si>
  <si>
    <t>,1236</t>
  </si>
  <si>
    <t>,1237</t>
  </si>
  <si>
    <t>,1238</t>
  </si>
  <si>
    <t>,1239</t>
  </si>
  <si>
    <t>,1240</t>
  </si>
  <si>
    <t>,1241</t>
  </si>
  <si>
    <t>,1242</t>
  </si>
  <si>
    <t>,1243</t>
  </si>
  <si>
    <t>,1244</t>
  </si>
  <si>
    <t>,1245</t>
  </si>
  <si>
    <t>,1246</t>
  </si>
  <si>
    <t>,1247</t>
  </si>
  <si>
    <t>,1248</t>
  </si>
  <si>
    <t>,1249</t>
  </si>
  <si>
    <t>,1250</t>
  </si>
  <si>
    <t>ANGSA 73001 interval and clast inventory Pass 3</t>
  </si>
  <si>
    <t xml:space="preserve"> ,1032</t>
  </si>
  <si>
    <t xml:space="preserve"> ,1072</t>
  </si>
  <si>
    <t xml:space="preserve">&lt;10 mm </t>
  </si>
  <si>
    <t>&lt;10 mm</t>
  </si>
  <si>
    <t>Parent (73001,xxxx)</t>
  </si>
  <si>
    <t>Labelled &gt;10 mm individual clast information including name (73001,xxx), CT scanning (Y, N), size fraction (mm), and  mass (g)</t>
  </si>
  <si>
    <t xml:space="preserve"> ,2001</t>
  </si>
  <si>
    <t xml:space="preserve"> ,2003</t>
  </si>
  <si>
    <t xml:space="preserve"> ,2004</t>
  </si>
  <si>
    <t xml:space="preserve"> ,2005</t>
  </si>
  <si>
    <t>x</t>
  </si>
  <si>
    <t xml:space="preserve"> ,2006</t>
  </si>
  <si>
    <t xml:space="preserve"> ,2007</t>
  </si>
  <si>
    <t xml:space="preserve"> ,2008</t>
  </si>
  <si>
    <t xml:space="preserve"> ,2009</t>
  </si>
  <si>
    <t xml:space="preserve"> ,2010</t>
  </si>
  <si>
    <t xml:space="preserve"> ,2011</t>
  </si>
  <si>
    <t xml:space="preserve"> ,2012</t>
  </si>
  <si>
    <t xml:space="preserve"> ,2013</t>
  </si>
  <si>
    <t xml:space="preserve"> ,2014</t>
  </si>
  <si>
    <t xml:space="preserve"> ,2015</t>
  </si>
  <si>
    <t xml:space="preserve"> ,2016</t>
  </si>
  <si>
    <t xml:space="preserve"> ,2017</t>
  </si>
  <si>
    <t xml:space="preserve"> ,2018</t>
  </si>
  <si>
    <t xml:space="preserve"> ,2019</t>
  </si>
  <si>
    <t xml:space="preserve"> ,2020</t>
  </si>
  <si>
    <t xml:space="preserve"> ,2021</t>
  </si>
  <si>
    <t>,2023</t>
  </si>
  <si>
    <t>,2024</t>
  </si>
  <si>
    <t>,2025</t>
  </si>
  <si>
    <t>,2026</t>
  </si>
  <si>
    <t>,2027</t>
  </si>
  <si>
    <t>,2028</t>
  </si>
  <si>
    <t>,2029</t>
  </si>
  <si>
    <t>,2030</t>
  </si>
  <si>
    <t>,2031</t>
  </si>
  <si>
    <t>,2032</t>
  </si>
  <si>
    <t>,2034</t>
  </si>
  <si>
    <t>,2035</t>
  </si>
  <si>
    <t>,2036</t>
  </si>
  <si>
    <t>,2037</t>
  </si>
  <si>
    <t>,2038</t>
  </si>
  <si>
    <t>,2039</t>
  </si>
  <si>
    <t>,2040</t>
  </si>
  <si>
    <t>,2041</t>
  </si>
  <si>
    <t>,2042</t>
  </si>
  <si>
    <t>,2043</t>
  </si>
  <si>
    <t>,2044</t>
  </si>
  <si>
    <t>,2045</t>
  </si>
  <si>
    <t>,2046</t>
  </si>
  <si>
    <t>,2047</t>
  </si>
  <si>
    <t>,2048</t>
  </si>
  <si>
    <t>,2049</t>
  </si>
  <si>
    <t>,2050</t>
  </si>
  <si>
    <t>,2051</t>
  </si>
  <si>
    <t>,2052</t>
  </si>
  <si>
    <t>,2053</t>
  </si>
  <si>
    <t>,2054</t>
  </si>
  <si>
    <t>,2055</t>
  </si>
  <si>
    <t>,2056</t>
  </si>
  <si>
    <t>,2057</t>
  </si>
  <si>
    <t>,2058</t>
  </si>
  <si>
    <t>,2059</t>
  </si>
  <si>
    <t>,2060</t>
  </si>
  <si>
    <t>,2061</t>
  </si>
  <si>
    <t>,2062</t>
  </si>
  <si>
    <t>,2063</t>
  </si>
  <si>
    <t>,2064</t>
  </si>
  <si>
    <t>,2065</t>
  </si>
  <si>
    <t>,2066</t>
  </si>
  <si>
    <t>,2067</t>
  </si>
  <si>
    <t>,2068</t>
  </si>
  <si>
    <t>,2069</t>
  </si>
  <si>
    <t>,2071</t>
  </si>
  <si>
    <t>,2072</t>
  </si>
  <si>
    <t>,2073</t>
  </si>
  <si>
    <t>,2074</t>
  </si>
  <si>
    <t>,2075</t>
  </si>
  <si>
    <t>,2081</t>
  </si>
  <si>
    <t>,2080</t>
  </si>
  <si>
    <t>,2079</t>
  </si>
  <si>
    <t>,2078</t>
  </si>
  <si>
    <t>,2077</t>
  </si>
  <si>
    <t>,2076</t>
  </si>
  <si>
    <t>,2082</t>
  </si>
  <si>
    <r>
      <t xml:space="preserve">Columns Z to AE for Passes 1 and 2, and column O-P for Pass 3, contain the </t>
    </r>
    <r>
      <rPr>
        <b/>
        <i/>
        <sz val="14"/>
        <color theme="1"/>
        <rFont val="Calibri"/>
        <family val="2"/>
        <scheme val="minor"/>
      </rPr>
      <t>parent numbers (73001,xxxx)</t>
    </r>
    <r>
      <rPr>
        <sz val="14"/>
        <color theme="1"/>
        <rFont val="Calibri"/>
        <family val="2"/>
        <scheme val="minor"/>
      </rPr>
      <t xml:space="preserve"> for each size fraction per interval, so you can trace your samples back to which interval it came from </t>
    </r>
  </si>
  <si>
    <t xml:space="preserve">Total sample mass [g] from pass 2: </t>
  </si>
  <si>
    <t xml:space="preserve">Total sample mass [g] from pass 3: </t>
  </si>
  <si>
    <t>33.1-32.5</t>
  </si>
  <si>
    <t xml:space="preserve"> ,1022</t>
  </si>
  <si>
    <t xml:space="preserve"> ,1028</t>
  </si>
  <si>
    <t xml:space="preserve"> ,1027</t>
  </si>
  <si>
    <t xml:space="preserve"> ,1026</t>
  </si>
  <si>
    <t xml:space="preserve"> ,1031</t>
  </si>
  <si>
    <t xml:space="preserve"> ,1029</t>
  </si>
  <si>
    <t xml:space="preserve"> ,171</t>
  </si>
  <si>
    <t xml:space="preserve"> ,1030</t>
  </si>
  <si>
    <t>Total mass of core (includes pass 4 that is used for TS, de-rindes, plate sweepings, etc.) [g]:</t>
  </si>
  <si>
    <t>The last row (row 73/72) contains the total weight of each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</si>
</sst>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CEF0F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0" fillId="0" borderId="5" xfId="0" applyNumberFormat="1" applyBorder="1" applyAlignment="1">
      <alignment horizontal="left" vertical="top" wrapText="1"/>
    </xf>
    <xf numFmtId="164" fontId="0" fillId="0" borderId="6" xfId="0" applyNumberFormat="1" applyBorder="1" applyAlignment="1">
      <alignment horizontal="left" vertical="top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0" xfId="0" applyNumberForma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2" borderId="0" xfId="0" applyFill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4" fillId="0" borderId="0" xfId="0" applyNumberFormat="1" applyFont="1" applyAlignment="1">
      <alignment horizontal="left"/>
    </xf>
    <xf numFmtId="0" fontId="0" fillId="0" borderId="11" xfId="0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2" borderId="12" xfId="0" applyNumberForma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4" fontId="0" fillId="0" borderId="11" xfId="0" applyNumberFormat="1" applyBorder="1"/>
    <xf numFmtId="164" fontId="0" fillId="0" borderId="11" xfId="0" applyNumberFormat="1" applyBorder="1" applyAlignment="1">
      <alignment horizontal="left"/>
    </xf>
    <xf numFmtId="164" fontId="0" fillId="0" borderId="13" xfId="0" applyNumberForma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65" fontId="0" fillId="0" borderId="0" xfId="0" applyNumberFormat="1" applyAlignment="1">
      <alignment horizontal="left"/>
    </xf>
    <xf numFmtId="0" fontId="0" fillId="0" borderId="11" xfId="0" applyBorder="1" applyAlignment="1">
      <alignment horizontal="center"/>
    </xf>
    <xf numFmtId="14" fontId="0" fillId="0" borderId="14" xfId="0" applyNumberFormat="1" applyBorder="1"/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5" fillId="0" borderId="15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2" borderId="17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4" fontId="0" fillId="2" borderId="18" xfId="0" applyNumberFormat="1" applyFill="1" applyBorder="1" applyAlignment="1">
      <alignment horizontal="center" vertical="top" wrapText="1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49" fontId="5" fillId="0" borderId="0" xfId="1" applyNumberFormat="1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165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0" xfId="0" applyFont="1" applyBorder="1"/>
    <xf numFmtId="0" fontId="0" fillId="0" borderId="0" xfId="0" applyBorder="1" applyAlignment="1">
      <alignment horizontal="left"/>
    </xf>
    <xf numFmtId="49" fontId="3" fillId="0" borderId="0" xfId="0" applyNumberFormat="1" applyFont="1"/>
    <xf numFmtId="49" fontId="0" fillId="0" borderId="0" xfId="0" applyNumberFormat="1" applyAlignment="1">
      <alignment horizontal="left"/>
    </xf>
    <xf numFmtId="49" fontId="0" fillId="0" borderId="5" xfId="0" applyNumberFormat="1" applyBorder="1" applyAlignment="1">
      <alignment horizontal="left" vertical="top" wrapText="1"/>
    </xf>
    <xf numFmtId="164" fontId="0" fillId="0" borderId="0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164" fontId="5" fillId="2" borderId="12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vertical="top"/>
    </xf>
    <xf numFmtId="164" fontId="5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8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center"/>
    </xf>
    <xf numFmtId="0" fontId="0" fillId="3" borderId="21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0" fontId="7" fillId="0" borderId="11" xfId="0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Border="1" applyAlignment="1">
      <alignment horizontal="center" vertical="top" wrapText="1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/>
    </xf>
    <xf numFmtId="164" fontId="0" fillId="2" borderId="22" xfId="0" applyNumberFormat="1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/>
    </xf>
    <xf numFmtId="0" fontId="0" fillId="3" borderId="15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165" fontId="0" fillId="0" borderId="17" xfId="0" applyNumberFormat="1" applyBorder="1" applyAlignment="1">
      <alignment horizontal="left"/>
    </xf>
    <xf numFmtId="165" fontId="0" fillId="0" borderId="17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4" fontId="0" fillId="0" borderId="0" xfId="0" applyNumberFormat="1" applyAlignment="1">
      <alignment vertical="center"/>
    </xf>
    <xf numFmtId="0" fontId="1" fillId="0" borderId="11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4" fontId="0" fillId="0" borderId="11" xfId="0" applyNumberFormat="1" applyFont="1" applyBorder="1"/>
    <xf numFmtId="0" fontId="0" fillId="0" borderId="0" xfId="0" applyFont="1" applyAlignment="1">
      <alignment horizontal="center" vertical="top" wrapText="1"/>
    </xf>
    <xf numFmtId="0" fontId="0" fillId="3" borderId="0" xfId="0" applyFont="1" applyFill="1" applyAlignment="1">
      <alignment horizontal="center" vertical="top" wrapText="1"/>
    </xf>
    <xf numFmtId="164" fontId="0" fillId="2" borderId="12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 vertical="top"/>
    </xf>
    <xf numFmtId="164" fontId="0" fillId="0" borderId="13" xfId="0" applyNumberFormat="1" applyFont="1" applyBorder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 vertical="top"/>
    </xf>
    <xf numFmtId="14" fontId="0" fillId="0" borderId="11" xfId="0" applyNumberFormat="1" applyFont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0" fontId="0" fillId="2" borderId="16" xfId="0" applyFon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left"/>
    </xf>
    <xf numFmtId="164" fontId="0" fillId="4" borderId="0" xfId="0" applyNumberFormat="1" applyFill="1" applyAlignment="1">
      <alignment horizontal="center" vertical="top"/>
    </xf>
    <xf numFmtId="164" fontId="0" fillId="4" borderId="0" xfId="0" applyNumberFormat="1" applyFill="1" applyAlignment="1">
      <alignment horizontal="left"/>
    </xf>
    <xf numFmtId="164" fontId="0" fillId="4" borderId="0" xfId="0" applyNumberFormat="1" applyFill="1" applyAlignment="1">
      <alignment horizontal="center"/>
    </xf>
    <xf numFmtId="14" fontId="8" fillId="4" borderId="0" xfId="0" applyNumberFormat="1" applyFont="1" applyFill="1"/>
    <xf numFmtId="0" fontId="0" fillId="4" borderId="0" xfId="0" applyFill="1" applyAlignment="1">
      <alignment horizontal="center" vertical="top" wrapText="1"/>
    </xf>
    <xf numFmtId="0" fontId="8" fillId="4" borderId="0" xfId="0" applyFont="1" applyFill="1" applyAlignment="1">
      <alignment horizontal="left"/>
    </xf>
    <xf numFmtId="164" fontId="15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left"/>
    </xf>
    <xf numFmtId="49" fontId="0" fillId="4" borderId="0" xfId="0" applyNumberFormat="1" applyFill="1" applyAlignment="1">
      <alignment horizontal="center"/>
    </xf>
    <xf numFmtId="0" fontId="8" fillId="4" borderId="0" xfId="0" applyFont="1" applyFill="1"/>
    <xf numFmtId="164" fontId="8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8" fillId="4" borderId="0" xfId="0" applyNumberFormat="1" applyFont="1" applyFill="1" applyAlignment="1">
      <alignment horizontal="center" vertical="top"/>
    </xf>
    <xf numFmtId="164" fontId="8" fillId="4" borderId="0" xfId="0" applyNumberFormat="1" applyFont="1" applyFill="1" applyAlignment="1">
      <alignment horizontal="left"/>
    </xf>
    <xf numFmtId="164" fontId="8" fillId="4" borderId="0" xfId="0" applyNumberFormat="1" applyFont="1" applyFill="1" applyAlignment="1">
      <alignment horizontal="center"/>
    </xf>
    <xf numFmtId="49" fontId="8" fillId="4" borderId="0" xfId="0" applyNumberFormat="1" applyFont="1" applyFill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164" fontId="0" fillId="0" borderId="13" xfId="0" applyNumberFormat="1" applyFill="1" applyBorder="1" applyAlignment="1">
      <alignment horizontal="center" vertical="top"/>
    </xf>
    <xf numFmtId="0" fontId="0" fillId="0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Border="1" applyAlignment="1">
      <alignment horizontal="left"/>
    </xf>
    <xf numFmtId="164" fontId="0" fillId="5" borderId="0" xfId="0" applyNumberFormat="1" applyFill="1" applyAlignment="1">
      <alignment horizontal="center" vertical="top"/>
    </xf>
    <xf numFmtId="164" fontId="0" fillId="5" borderId="0" xfId="0" applyNumberForma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5" borderId="0" xfId="0" applyFont="1" applyFill="1" applyAlignment="1">
      <alignment horizontal="center" wrapText="1"/>
    </xf>
    <xf numFmtId="164" fontId="8" fillId="5" borderId="0" xfId="0" applyNumberFormat="1" applyFont="1" applyFill="1" applyAlignment="1">
      <alignment horizontal="center" vertical="center"/>
    </xf>
    <xf numFmtId="164" fontId="8" fillId="4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oss, Juliane (JSC-XI111)[IPA]" id="{FE53BEB1-67ED-449C-ACE0-D5D275BCE6D4}" userId="S::jgross3@ndc.nasa.gov::8bf2106f-3409-43d2-8cce-bd07efcf987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59" dT="2022-04-25T23:47:40.75" personId="{FE53BEB1-67ED-449C-ACE0-D5D275BCE6D4}" id="{0F4D752D-C8BD-43C0-84EE-CB3C04833EAF}">
    <text>From intervals 55-56</text>
  </threadedComment>
  <threadedComment ref="Z59" dT="2022-04-25T23:39:49.76" personId="{FE53BEB1-67ED-449C-ACE0-D5D275BCE6D4}" id="{878192E0-CFBE-482E-B266-406DB591991E}">
    <text>unsieved black spot material; interval 55-56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22" dT="2022-06-02T17:59:59.40" personId="{FE53BEB1-67ED-449C-ACE0-D5D275BCE6D4}" id="{EE2DCDD7-1E8B-4057-AD22-09A72B341D15}">
    <text>Note, this interval has the weight of clast  ,1072, but the clast ranges from interval 17-19.</text>
  </threadedComment>
  <threadedComment ref="H22" dT="2022-07-18T21:07:49.95" personId="{FE53BEB1-67ED-449C-ACE0-D5D275BCE6D4}" id="{CBC332F7-14D6-407A-830A-15DEBE89F121}">
    <text>Note this clast ranges from interval 17-19, and in the lunar database it is located in interval 19, not interval 18 as it should have been.</text>
  </threadedComment>
  <threadedComment ref="AA22" dT="2022-06-02T17:58:44.56" personId="{FE53BEB1-67ED-449C-ACE0-D5D275BCE6D4}" id="{4A20C0E3-5B6E-40C0-97B7-DB75C08A8067}">
    <text>Note, this clast ranges from interval 17-19.</text>
  </threadedComment>
  <threadedComment ref="D37" dT="2022-10-18T15:53:27.06" personId="{FE53BEB1-67ED-449C-ACE0-D5D275BCE6D4}" id="{ECFB8CBD-68EC-4283-B0EB-501AD52FA830}">
    <text>Interval only partically dissected, hence low total weight.</text>
  </threadedComment>
  <threadedComment ref="Q37" dT="2022-10-18T15:53:36.35" personId="{FE53BEB1-67ED-449C-ACE0-D5D275BCE6D4}" id="{BDF200C1-0187-4666-A129-F05644EF5831}">
    <text>Interval only partically dissected, hence low total weight.</text>
  </threadedComment>
  <threadedComment ref="D38" dT="2022-07-18T18:52:14.57" personId="{FE53BEB1-67ED-449C-ACE0-D5D275BCE6D4}" id="{9E70850D-5104-4A56-B1E3-D01602D3C42C}">
    <text>Interval 34-36 were touched by the Teflon wrapped colored calibration bar (picture color calibration bar).</text>
  </threadedComment>
  <threadedComment ref="Q38" dT="2022-05-19T22:30:16.42" personId="{FE53BEB1-67ED-449C-ACE0-D5D275BCE6D4}" id="{BD58DA56-B9FB-431C-B657-C49773A66946}">
    <text>The extra 1gr is from last interval (interval 33) that was only partically dissected.</text>
  </threadedComment>
  <threadedComment ref="D39" dT="2022-07-18T18:52:21.72" personId="{FE53BEB1-67ED-449C-ACE0-D5D275BCE6D4}" id="{0EDD24B6-3A78-4A73-A10B-42E4B8322DFC}">
    <text>Interval 34-36 were touched by the Teflon wrapped colored calibration bar (picture color calibration bar).</text>
  </threadedComment>
  <threadedComment ref="D40" dT="2022-07-18T18:52:31.21" personId="{FE53BEB1-67ED-449C-ACE0-D5D275BCE6D4}" id="{3C85EB00-D982-4739-8A0E-7A28D9E15D5E}">
    <text>Interval 34-36 were touched by the Teflon wrapped colored calibration bar (picture color calibration bar).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J7" dT="2022-07-18T18:19:30.68" personId="{FE53BEB1-67ED-449C-ACE0-D5D275BCE6D4}" id="{A9B1F44A-C62B-4818-B77B-570B4EA98980}">
    <text>Ranges from interval 2-4</text>
  </threadedComment>
  <threadedComment ref="J15" dT="2022-07-18T18:22:25.19" personId="{FE53BEB1-67ED-449C-ACE0-D5D275BCE6D4}" id="{46AC1586-AA8B-4BF7-A7F6-857DC7E55EFD}">
    <text>Ranges from Interval 8 to interval 13</text>
  </threadedComment>
  <threadedComment ref="J21" dT="2022-07-18T18:23:19.92" personId="{FE53BEB1-67ED-449C-ACE0-D5D275BCE6D4}" id="{8FAF6F1C-363F-4A8B-928A-CACBB8E0A31E}">
    <text>Ranges from interval 16 to interval 18.</text>
  </threadedComment>
  <threadedComment ref="J34" dT="2022-07-18T18:25:56.95" personId="{FE53BEB1-67ED-449C-ACE0-D5D275BCE6D4}" id="{0D59678F-0D2C-491E-85A2-D504B931B6D2}">
    <text>Ranges from Interval 28 to interval 30.</text>
  </threadedComment>
  <threadedComment ref="J43" dT="2022-07-18T18:27:41.39" personId="{FE53BEB1-67ED-449C-ACE0-D5D275BCE6D4}" id="{4CF7E41E-33EA-4C4C-99ED-1B8BAAAF893A}">
    <text>Ranges from Interval 37 to Interval 40.</text>
  </threadedComment>
  <threadedComment ref="J49" dT="2022-07-18T18:31:26.39" personId="{FE53BEB1-67ED-449C-ACE0-D5D275BCE6D4}" id="{4BC106CF-9F15-4ACC-94C9-AB96AFB614B8}">
    <text>Ranges from Interval 45 to 46.</text>
  </threadedComment>
  <threadedComment ref="J54" dT="2022-07-18T18:28:42.92" personId="{FE53BEB1-67ED-449C-ACE0-D5D275BCE6D4}" id="{92E93FE3-AFA0-4E18-AADF-D894CC16D8CE}">
    <text>Ranges from Interval 48 to Interval 52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A373-8EE2-473B-8A5A-71C4CFBB3720}">
  <dimension ref="A1:A26"/>
  <sheetViews>
    <sheetView tabSelected="1" workbookViewId="0">
      <selection activeCell="I10" sqref="I10"/>
    </sheetView>
  </sheetViews>
  <sheetFormatPr defaultRowHeight="15" x14ac:dyDescent="0.25"/>
  <sheetData>
    <row r="1" spans="1:1" ht="21" x14ac:dyDescent="0.35">
      <c r="A1" s="123" t="s">
        <v>29</v>
      </c>
    </row>
    <row r="2" spans="1:1" ht="8.4499999999999993" customHeight="1" x14ac:dyDescent="0.25"/>
    <row r="3" spans="1:1" ht="18.75" x14ac:dyDescent="0.3">
      <c r="A3" s="1" t="s">
        <v>0</v>
      </c>
    </row>
    <row r="4" spans="1:1" ht="9" customHeight="1" x14ac:dyDescent="0.3">
      <c r="A4" s="124"/>
    </row>
    <row r="5" spans="1:1" ht="18.75" x14ac:dyDescent="0.3">
      <c r="A5" s="124" t="s">
        <v>1</v>
      </c>
    </row>
    <row r="6" spans="1:1" ht="18.75" x14ac:dyDescent="0.3">
      <c r="A6" s="124" t="s">
        <v>27</v>
      </c>
    </row>
    <row r="7" spans="1:1" ht="5.45" customHeight="1" x14ac:dyDescent="0.3">
      <c r="A7" s="124"/>
    </row>
    <row r="8" spans="1:1" ht="18.75" x14ac:dyDescent="0.3">
      <c r="A8" s="1" t="s">
        <v>2</v>
      </c>
    </row>
    <row r="9" spans="1:1" ht="18.75" x14ac:dyDescent="0.3">
      <c r="A9" s="124" t="s">
        <v>3</v>
      </c>
    </row>
    <row r="10" spans="1:1" ht="18.75" x14ac:dyDescent="0.3">
      <c r="A10" s="124" t="s">
        <v>791</v>
      </c>
    </row>
    <row r="11" spans="1:1" ht="8.4499999999999993" customHeight="1" x14ac:dyDescent="0.3">
      <c r="A11" s="124"/>
    </row>
    <row r="12" spans="1:1" ht="18.75" x14ac:dyDescent="0.3">
      <c r="A12" s="1" t="s">
        <v>4</v>
      </c>
    </row>
    <row r="13" spans="1:1" ht="18.75" x14ac:dyDescent="0.3">
      <c r="A13" s="124" t="s">
        <v>506</v>
      </c>
    </row>
    <row r="14" spans="1:1" ht="18.75" x14ac:dyDescent="0.3">
      <c r="A14" s="124" t="s">
        <v>507</v>
      </c>
    </row>
    <row r="15" spans="1:1" ht="18.75" x14ac:dyDescent="0.3">
      <c r="A15" s="124" t="s">
        <v>508</v>
      </c>
    </row>
    <row r="16" spans="1:1" ht="18.75" x14ac:dyDescent="0.3">
      <c r="A16" s="124" t="s">
        <v>509</v>
      </c>
    </row>
    <row r="17" spans="1:1" ht="19.5" customHeight="1" x14ac:dyDescent="0.3">
      <c r="A17" s="124" t="s">
        <v>778</v>
      </c>
    </row>
    <row r="18" spans="1:1" ht="9.75" customHeight="1" x14ac:dyDescent="0.3">
      <c r="A18" s="124"/>
    </row>
    <row r="19" spans="1:1" ht="18.75" x14ac:dyDescent="0.3">
      <c r="A19" s="1" t="s">
        <v>5</v>
      </c>
    </row>
    <row r="20" spans="1:1" ht="18.75" x14ac:dyDescent="0.3">
      <c r="A20" s="124" t="s">
        <v>26</v>
      </c>
    </row>
    <row r="21" spans="1:1" ht="18.75" x14ac:dyDescent="0.3">
      <c r="A21" s="124" t="s">
        <v>503</v>
      </c>
    </row>
    <row r="22" spans="1:1" ht="18.75" x14ac:dyDescent="0.3">
      <c r="A22" s="124" t="s">
        <v>504</v>
      </c>
    </row>
    <row r="23" spans="1:1" ht="18.75" x14ac:dyDescent="0.3">
      <c r="A23" s="124" t="s">
        <v>505</v>
      </c>
    </row>
    <row r="24" spans="1:1" ht="18.75" x14ac:dyDescent="0.3">
      <c r="A24" s="124" t="s">
        <v>6</v>
      </c>
    </row>
    <row r="26" spans="1:1" ht="23.25" x14ac:dyDescent="0.35">
      <c r="A26" s="125" t="s">
        <v>497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66983-D0CF-4F91-9CD9-A09F4174861D}">
  <dimension ref="A1:BK77"/>
  <sheetViews>
    <sheetView zoomScale="98" workbookViewId="0">
      <pane xSplit="6" ySplit="4" topLeftCell="U49" activePane="bottomRight" state="frozen"/>
      <selection pane="topRight" activeCell="G1" sqref="G1"/>
      <selection pane="bottomLeft" activeCell="A5" sqref="A5"/>
      <selection pane="bottomRight" activeCell="N22" sqref="N22"/>
    </sheetView>
  </sheetViews>
  <sheetFormatPr defaultRowHeight="15" x14ac:dyDescent="0.25"/>
  <cols>
    <col min="1" max="1" width="2.28515625" customWidth="1"/>
    <col min="2" max="2" width="10.7109375" bestFit="1" customWidth="1"/>
    <col min="3" max="3" width="6.140625" customWidth="1"/>
    <col min="4" max="4" width="8.85546875" style="2"/>
    <col min="5" max="5" width="9.140625" style="2"/>
    <col min="6" max="6" width="13.28515625" style="2" customWidth="1"/>
    <col min="7" max="7" width="10.7109375" style="2" customWidth="1"/>
    <col min="8" max="8" width="10" style="2" customWidth="1"/>
    <col min="9" max="17" width="8.85546875" style="2"/>
    <col min="18" max="18" width="9.140625" style="2"/>
    <col min="19" max="22" width="8.85546875" style="2"/>
    <col min="23" max="24" width="9.140625" style="2"/>
    <col min="25" max="25" width="3.7109375" style="86" customWidth="1"/>
    <col min="26" max="27" width="9.7109375" style="86" customWidth="1"/>
    <col min="28" max="31" width="9.140625" style="2"/>
    <col min="32" max="32" width="3.42578125" style="2" customWidth="1"/>
    <col min="33" max="33" width="8.85546875" style="2"/>
    <col min="34" max="34" width="11.140625" style="2" customWidth="1"/>
    <col min="35" max="35" width="8.42578125" style="2" customWidth="1"/>
    <col min="36" max="36" width="8.85546875" style="2"/>
    <col min="37" max="37" width="10.42578125" style="2" customWidth="1"/>
    <col min="38" max="38" width="9.28515625" style="3" customWidth="1"/>
    <col min="39" max="39" width="12" style="2" customWidth="1"/>
    <col min="40" max="40" width="11.42578125" style="2" customWidth="1"/>
    <col min="41" max="41" width="8.7109375" style="2" customWidth="1"/>
    <col min="42" max="42" width="9.7109375" style="2" customWidth="1"/>
    <col min="43" max="43" width="11.85546875" style="4" customWidth="1"/>
    <col min="44" max="44" width="8.7109375" style="3" customWidth="1"/>
    <col min="45" max="45" width="12.5703125" style="2" customWidth="1"/>
    <col min="46" max="46" width="11.28515625" style="2" customWidth="1"/>
    <col min="47" max="47" width="8.85546875" style="2"/>
    <col min="48" max="48" width="9.5703125" style="2" customWidth="1"/>
    <col min="49" max="49" width="8.85546875" style="4"/>
    <col min="50" max="50" width="9.42578125" style="5" customWidth="1"/>
    <col min="51" max="51" width="13.140625" style="2" customWidth="1"/>
    <col min="52" max="52" width="11" style="2" customWidth="1"/>
    <col min="53" max="53" width="9.28515625" style="88" customWidth="1"/>
    <col min="54" max="54" width="9.5703125" style="2" customWidth="1"/>
    <col min="55" max="55" width="8.85546875" style="4"/>
    <col min="56" max="56" width="8.85546875" style="3"/>
    <col min="57" max="57" width="10.85546875" style="2" customWidth="1"/>
    <col min="58" max="58" width="12.140625" style="2" customWidth="1"/>
    <col min="59" max="59" width="8.85546875" style="88"/>
    <col min="60" max="60" width="9.7109375" style="2" customWidth="1"/>
    <col min="61" max="61" width="8.28515625" style="2" customWidth="1"/>
    <col min="62" max="62" width="8.85546875" style="3"/>
    <col min="63" max="63" width="8.85546875" style="4"/>
  </cols>
  <sheetData>
    <row r="1" spans="1:63" s="1" customFormat="1" ht="18.75" x14ac:dyDescent="0.3">
      <c r="A1" s="1" t="s">
        <v>359</v>
      </c>
      <c r="Y1" s="85"/>
      <c r="Z1" s="85"/>
      <c r="AA1" s="85"/>
      <c r="BA1" s="87"/>
      <c r="BG1" s="87"/>
    </row>
    <row r="2" spans="1:63" ht="15.75" thickBot="1" x14ac:dyDescent="0.3"/>
    <row r="3" spans="1:63" s="77" customFormat="1" ht="15" customHeight="1" thickBot="1" x14ac:dyDescent="0.3">
      <c r="B3" s="252" t="s">
        <v>7</v>
      </c>
      <c r="C3" s="253"/>
      <c r="D3" s="253"/>
      <c r="E3" s="253"/>
      <c r="F3" s="253"/>
      <c r="G3" s="254"/>
      <c r="H3" s="252" t="s">
        <v>8</v>
      </c>
      <c r="I3" s="253"/>
      <c r="J3" s="253"/>
      <c r="K3" s="253"/>
      <c r="L3" s="254"/>
      <c r="M3" s="252" t="s">
        <v>9</v>
      </c>
      <c r="N3" s="253"/>
      <c r="O3" s="253"/>
      <c r="P3" s="253"/>
      <c r="Q3" s="253"/>
      <c r="R3" s="254"/>
      <c r="S3" s="252" t="s">
        <v>10</v>
      </c>
      <c r="T3" s="253"/>
      <c r="U3" s="253"/>
      <c r="V3" s="253"/>
      <c r="W3" s="253"/>
      <c r="X3" s="254"/>
      <c r="Y3" s="230"/>
      <c r="Z3" s="231"/>
      <c r="AA3" s="232"/>
      <c r="AB3" s="233" t="s">
        <v>101</v>
      </c>
      <c r="AC3" s="233"/>
      <c r="AD3" s="233"/>
      <c r="AE3" s="234"/>
      <c r="AG3" s="252" t="s">
        <v>11</v>
      </c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4"/>
    </row>
    <row r="4" spans="1:63" ht="60.75" thickBot="1" x14ac:dyDescent="0.3">
      <c r="B4" s="7" t="s">
        <v>431</v>
      </c>
      <c r="C4" s="8" t="s">
        <v>12</v>
      </c>
      <c r="D4" s="8" t="s">
        <v>13</v>
      </c>
      <c r="E4" s="8" t="s">
        <v>432</v>
      </c>
      <c r="F4" s="110" t="s">
        <v>360</v>
      </c>
      <c r="G4" s="9" t="s">
        <v>14</v>
      </c>
      <c r="H4" s="7" t="s">
        <v>15</v>
      </c>
      <c r="I4" s="8" t="s">
        <v>16</v>
      </c>
      <c r="J4" s="8" t="s">
        <v>17</v>
      </c>
      <c r="K4" s="10" t="s">
        <v>18</v>
      </c>
      <c r="L4" s="11" t="s">
        <v>19</v>
      </c>
      <c r="M4" s="7" t="s">
        <v>15</v>
      </c>
      <c r="N4" s="8" t="s">
        <v>16</v>
      </c>
      <c r="O4" s="8" t="s">
        <v>17</v>
      </c>
      <c r="P4" s="8" t="s">
        <v>18</v>
      </c>
      <c r="Q4" s="83" t="s">
        <v>20</v>
      </c>
      <c r="R4" s="10" t="s">
        <v>162</v>
      </c>
      <c r="S4" s="7" t="s">
        <v>15</v>
      </c>
      <c r="T4" s="8" t="s">
        <v>16</v>
      </c>
      <c r="U4" s="8" t="s">
        <v>17</v>
      </c>
      <c r="V4" s="83" t="s">
        <v>18</v>
      </c>
      <c r="W4" s="83" t="s">
        <v>20</v>
      </c>
      <c r="X4" s="10" t="s">
        <v>162</v>
      </c>
      <c r="Y4" s="81"/>
      <c r="Z4" s="13" t="s">
        <v>162</v>
      </c>
      <c r="AA4" s="83" t="s">
        <v>15</v>
      </c>
      <c r="AB4" s="8" t="s">
        <v>128</v>
      </c>
      <c r="AC4" s="84" t="s">
        <v>17</v>
      </c>
      <c r="AD4" s="8" t="s">
        <v>18</v>
      </c>
      <c r="AE4" s="10" t="s">
        <v>20</v>
      </c>
      <c r="AF4" s="12"/>
      <c r="AG4" s="13" t="s">
        <v>21</v>
      </c>
      <c r="AH4" s="14" t="s">
        <v>28</v>
      </c>
      <c r="AI4" s="14" t="s">
        <v>22</v>
      </c>
      <c r="AJ4" s="15" t="s">
        <v>23</v>
      </c>
      <c r="AK4" s="14" t="s">
        <v>24</v>
      </c>
      <c r="AL4" s="16" t="s">
        <v>25</v>
      </c>
      <c r="AM4" s="13" t="s">
        <v>21</v>
      </c>
      <c r="AN4" s="14" t="s">
        <v>28</v>
      </c>
      <c r="AO4" s="14" t="s">
        <v>22</v>
      </c>
      <c r="AP4" s="15" t="s">
        <v>23</v>
      </c>
      <c r="AQ4" s="14" t="s">
        <v>24</v>
      </c>
      <c r="AR4" s="17" t="s">
        <v>25</v>
      </c>
      <c r="AS4" s="13" t="s">
        <v>21</v>
      </c>
      <c r="AT4" s="14" t="s">
        <v>28</v>
      </c>
      <c r="AU4" s="14" t="s">
        <v>22</v>
      </c>
      <c r="AV4" s="15" t="s">
        <v>23</v>
      </c>
      <c r="AW4" s="14" t="s">
        <v>24</v>
      </c>
      <c r="AX4" s="16" t="s">
        <v>25</v>
      </c>
      <c r="AY4" s="13" t="s">
        <v>21</v>
      </c>
      <c r="AZ4" s="14" t="s">
        <v>28</v>
      </c>
      <c r="BA4" s="89" t="s">
        <v>22</v>
      </c>
      <c r="BB4" s="15" t="s">
        <v>23</v>
      </c>
      <c r="BC4" s="14" t="s">
        <v>24</v>
      </c>
      <c r="BD4" s="17" t="s">
        <v>25</v>
      </c>
      <c r="BE4" s="13" t="s">
        <v>21</v>
      </c>
      <c r="BF4" s="14" t="s">
        <v>28</v>
      </c>
      <c r="BG4" s="89" t="s">
        <v>22</v>
      </c>
      <c r="BH4" s="15" t="s">
        <v>23</v>
      </c>
      <c r="BI4" s="14" t="s">
        <v>24</v>
      </c>
      <c r="BJ4" s="17" t="s">
        <v>25</v>
      </c>
      <c r="BK4" s="18"/>
    </row>
    <row r="5" spans="1:63" s="2" customFormat="1" x14ac:dyDescent="0.25">
      <c r="B5" s="105">
        <v>44642</v>
      </c>
      <c r="C5" s="6">
        <v>1</v>
      </c>
      <c r="D5" s="6">
        <v>1</v>
      </c>
      <c r="E5" s="6" t="s">
        <v>781</v>
      </c>
      <c r="F5" s="111" t="s">
        <v>372</v>
      </c>
      <c r="G5" s="36">
        <f t="shared" ref="G5:G36" si="0">SUM(M5:Q5)</f>
        <v>1.7049999999999998</v>
      </c>
      <c r="H5" s="20" t="s">
        <v>433</v>
      </c>
      <c r="I5" s="6">
        <v>1</v>
      </c>
      <c r="J5" s="6">
        <v>12</v>
      </c>
      <c r="K5" s="21">
        <v>21</v>
      </c>
      <c r="L5" s="22">
        <f>SUM(H5:K5)</f>
        <v>34</v>
      </c>
      <c r="M5" s="117">
        <v>0</v>
      </c>
      <c r="N5" s="5">
        <v>4.7E-2</v>
      </c>
      <c r="O5" s="5">
        <v>9.9000000000000005E-2</v>
      </c>
      <c r="P5" s="5">
        <v>5.8000000000000003E-2</v>
      </c>
      <c r="Q5" s="248">
        <v>1.5009999999999999</v>
      </c>
      <c r="R5" s="24"/>
      <c r="S5" s="25">
        <f t="shared" ref="S5:W6" si="1">M5/$G5*100</f>
        <v>0</v>
      </c>
      <c r="T5" s="82">
        <f t="shared" si="1"/>
        <v>2.7565982404692084</v>
      </c>
      <c r="U5" s="82">
        <f t="shared" si="1"/>
        <v>5.8064516129032269</v>
      </c>
      <c r="V5" s="82">
        <f t="shared" si="1"/>
        <v>3.4017595307917889</v>
      </c>
      <c r="W5" s="92">
        <f t="shared" si="1"/>
        <v>88.035190615835774</v>
      </c>
      <c r="X5" s="27"/>
      <c r="Y5" s="82"/>
      <c r="Z5" s="25"/>
      <c r="AA5" s="82"/>
      <c r="AB5" s="90" t="s">
        <v>204</v>
      </c>
      <c r="AC5" s="90" t="s">
        <v>203</v>
      </c>
      <c r="AD5" s="5" t="s">
        <v>202</v>
      </c>
      <c r="AE5" s="24" t="s">
        <v>201</v>
      </c>
      <c r="AF5" s="28"/>
      <c r="AG5" s="29" t="s">
        <v>95</v>
      </c>
      <c r="AH5" s="4" t="str">
        <f t="shared" ref="AH5:AH12" si="2">AB5</f>
        <v xml:space="preserve"> ,14</v>
      </c>
      <c r="AI5" s="30" t="s">
        <v>99</v>
      </c>
      <c r="AJ5" s="5">
        <v>4.7E-2</v>
      </c>
      <c r="AK5" s="2" t="s">
        <v>453</v>
      </c>
      <c r="AL5" s="31" t="s">
        <v>703</v>
      </c>
      <c r="AM5" s="32"/>
      <c r="AO5" s="30"/>
      <c r="AP5" s="5"/>
      <c r="AR5" s="31"/>
      <c r="AS5" s="29"/>
      <c r="AU5" s="6"/>
      <c r="AV5" s="5"/>
      <c r="AX5" s="6"/>
      <c r="AY5" s="29"/>
      <c r="BA5" s="30"/>
      <c r="BB5" s="5"/>
      <c r="BD5" s="31"/>
      <c r="BE5" s="29"/>
      <c r="BG5" s="88"/>
      <c r="BH5" s="4"/>
      <c r="BI5" s="33"/>
      <c r="BJ5" s="34"/>
      <c r="BK5" s="4"/>
    </row>
    <row r="6" spans="1:63" s="2" customFormat="1" x14ac:dyDescent="0.25">
      <c r="B6" s="106"/>
      <c r="C6" s="35">
        <v>1</v>
      </c>
      <c r="D6" s="35">
        <v>2</v>
      </c>
      <c r="E6" s="35" t="s">
        <v>30</v>
      </c>
      <c r="F6" s="112" t="s">
        <v>365</v>
      </c>
      <c r="G6" s="36">
        <f t="shared" si="0"/>
        <v>1.887</v>
      </c>
      <c r="H6" s="20" t="s">
        <v>433</v>
      </c>
      <c r="I6" s="6">
        <v>2</v>
      </c>
      <c r="J6" s="6">
        <v>11</v>
      </c>
      <c r="K6" s="21">
        <v>20</v>
      </c>
      <c r="L6" s="22">
        <f t="shared" ref="L6:L69" si="3">SUM(H6:K6)</f>
        <v>33</v>
      </c>
      <c r="M6" s="117">
        <v>0</v>
      </c>
      <c r="N6" s="5">
        <f>0.071+0.024</f>
        <v>9.5000000000000001E-2</v>
      </c>
      <c r="O6" s="5">
        <v>0.11600000000000001</v>
      </c>
      <c r="P6" s="5">
        <v>6.5000000000000002E-2</v>
      </c>
      <c r="Q6" s="90">
        <v>1.611</v>
      </c>
      <c r="R6" s="24"/>
      <c r="S6" s="25">
        <f t="shared" si="1"/>
        <v>0</v>
      </c>
      <c r="T6" s="82">
        <f t="shared" si="1"/>
        <v>5.0344462109167996</v>
      </c>
      <c r="U6" s="82">
        <f t="shared" si="1"/>
        <v>6.1473237943826184</v>
      </c>
      <c r="V6" s="82">
        <f t="shared" si="1"/>
        <v>3.4446210916799154</v>
      </c>
      <c r="W6" s="82">
        <f t="shared" si="1"/>
        <v>85.373608903020667</v>
      </c>
      <c r="X6" s="27"/>
      <c r="Y6" s="82"/>
      <c r="Z6" s="25"/>
      <c r="AA6" s="82"/>
      <c r="AB6" s="90" t="s">
        <v>208</v>
      </c>
      <c r="AC6" s="90" t="s">
        <v>207</v>
      </c>
      <c r="AD6" s="5" t="s">
        <v>206</v>
      </c>
      <c r="AE6" s="24" t="s">
        <v>205</v>
      </c>
      <c r="AF6" s="28"/>
      <c r="AG6" s="29" t="s">
        <v>95</v>
      </c>
      <c r="AH6" s="4" t="str">
        <f t="shared" si="2"/>
        <v xml:space="preserve"> ,18</v>
      </c>
      <c r="AI6" s="30" t="s">
        <v>99</v>
      </c>
      <c r="AJ6" s="5">
        <v>7.0999999999999994E-2</v>
      </c>
      <c r="AK6" s="2" t="s">
        <v>453</v>
      </c>
      <c r="AL6" s="31" t="s">
        <v>703</v>
      </c>
      <c r="AM6" s="29" t="s">
        <v>96</v>
      </c>
      <c r="AN6" s="4" t="str">
        <f t="shared" ref="AN6:AN12" si="4">AH6</f>
        <v xml:space="preserve"> ,18</v>
      </c>
      <c r="AO6" s="30" t="s">
        <v>99</v>
      </c>
      <c r="AP6" s="5">
        <v>2.4E-2</v>
      </c>
      <c r="AQ6" s="2" t="s">
        <v>453</v>
      </c>
      <c r="AR6" s="31" t="s">
        <v>703</v>
      </c>
      <c r="AS6" s="29"/>
      <c r="AU6" s="30"/>
      <c r="AV6" s="5"/>
      <c r="AX6" s="6"/>
      <c r="AY6" s="29"/>
      <c r="BA6" s="30"/>
      <c r="BB6" s="5"/>
      <c r="BD6" s="31"/>
      <c r="BE6" s="29"/>
      <c r="BG6" s="88"/>
      <c r="BH6" s="4"/>
      <c r="BJ6" s="37"/>
      <c r="BK6" s="4"/>
    </row>
    <row r="7" spans="1:63" s="2" customFormat="1" x14ac:dyDescent="0.25">
      <c r="B7" s="106"/>
      <c r="C7" s="35">
        <v>1</v>
      </c>
      <c r="D7" s="35">
        <v>3</v>
      </c>
      <c r="E7" s="35" t="s">
        <v>31</v>
      </c>
      <c r="F7" s="113" t="s">
        <v>366</v>
      </c>
      <c r="G7" s="36">
        <f t="shared" si="0"/>
        <v>2.379</v>
      </c>
      <c r="H7" s="20" t="s">
        <v>433</v>
      </c>
      <c r="I7" s="6">
        <v>4</v>
      </c>
      <c r="J7" s="6">
        <v>7</v>
      </c>
      <c r="K7" s="21">
        <v>33</v>
      </c>
      <c r="L7" s="22">
        <f t="shared" si="3"/>
        <v>44</v>
      </c>
      <c r="M7" s="117">
        <v>0</v>
      </c>
      <c r="N7" s="5">
        <f>0.144+0.098+0.088+0.069</f>
        <v>0.39899999999999997</v>
      </c>
      <c r="O7" s="5">
        <v>9.0999999999999998E-2</v>
      </c>
      <c r="P7" s="5">
        <v>0.112</v>
      </c>
      <c r="Q7" s="90">
        <v>1.7769999999999999</v>
      </c>
      <c r="R7" s="24"/>
      <c r="S7" s="25">
        <f t="shared" ref="S7:S38" si="5">M7/$G7*100</f>
        <v>0</v>
      </c>
      <c r="T7" s="82">
        <f t="shared" ref="T7:T38" si="6">N7/$G7*100</f>
        <v>16.771752837326606</v>
      </c>
      <c r="U7" s="82">
        <f t="shared" ref="U7:U38" si="7">O7/$G7*100</f>
        <v>3.8251366120218582</v>
      </c>
      <c r="V7" s="82">
        <f t="shared" ref="V7:V38" si="8">P7/$G7*100</f>
        <v>4.7078604455653634</v>
      </c>
      <c r="W7" s="82">
        <f t="shared" ref="W7:X69" si="9">Q7/$G7*100</f>
        <v>74.69525010508616</v>
      </c>
      <c r="X7" s="27"/>
      <c r="Y7" s="82"/>
      <c r="Z7" s="25"/>
      <c r="AA7" s="82"/>
      <c r="AB7" s="90" t="s">
        <v>217</v>
      </c>
      <c r="AC7" s="90" t="s">
        <v>216</v>
      </c>
      <c r="AD7" s="5" t="s">
        <v>215</v>
      </c>
      <c r="AE7" s="24" t="s">
        <v>214</v>
      </c>
      <c r="AF7" s="28"/>
      <c r="AG7" s="29" t="s">
        <v>95</v>
      </c>
      <c r="AH7" s="4" t="str">
        <f t="shared" si="2"/>
        <v xml:space="preserve"> ,22</v>
      </c>
      <c r="AI7" s="30" t="s">
        <v>99</v>
      </c>
      <c r="AJ7" s="5">
        <v>0.14399999999999999</v>
      </c>
      <c r="AK7" s="2" t="s">
        <v>453</v>
      </c>
      <c r="AL7" s="31" t="s">
        <v>703</v>
      </c>
      <c r="AM7" s="29" t="s">
        <v>96</v>
      </c>
      <c r="AN7" s="4" t="str">
        <f t="shared" si="4"/>
        <v xml:space="preserve"> ,22</v>
      </c>
      <c r="AO7" s="30" t="s">
        <v>99</v>
      </c>
      <c r="AP7" s="5">
        <v>9.8000000000000004E-2</v>
      </c>
      <c r="AQ7" s="2" t="s">
        <v>453</v>
      </c>
      <c r="AR7" s="31" t="s">
        <v>703</v>
      </c>
      <c r="AS7" s="29" t="s">
        <v>114</v>
      </c>
      <c r="AT7" s="4" t="str">
        <f>AN7</f>
        <v xml:space="preserve"> ,22</v>
      </c>
      <c r="AU7" s="30" t="s">
        <v>99</v>
      </c>
      <c r="AV7" s="5">
        <v>8.7999999999999995E-2</v>
      </c>
      <c r="AW7" s="40" t="s">
        <v>453</v>
      </c>
      <c r="AX7" s="6" t="s">
        <v>703</v>
      </c>
      <c r="AY7" s="29" t="s">
        <v>123</v>
      </c>
      <c r="AZ7" s="4" t="str">
        <f>AT7</f>
        <v xml:space="preserve"> ,22</v>
      </c>
      <c r="BA7" s="30" t="s">
        <v>99</v>
      </c>
      <c r="BB7" s="5">
        <v>6.9000000000000006E-2</v>
      </c>
      <c r="BC7" s="2" t="s">
        <v>453</v>
      </c>
      <c r="BD7" s="31" t="s">
        <v>703</v>
      </c>
      <c r="BE7" s="29"/>
      <c r="BG7" s="30"/>
      <c r="BH7" s="5"/>
      <c r="BJ7" s="37"/>
      <c r="BK7" s="5"/>
    </row>
    <row r="8" spans="1:63" s="96" customFormat="1" x14ac:dyDescent="0.25">
      <c r="B8" s="107">
        <v>44643</v>
      </c>
      <c r="C8" s="19">
        <v>1</v>
      </c>
      <c r="D8" s="19">
        <v>4</v>
      </c>
      <c r="E8" s="19" t="s">
        <v>32</v>
      </c>
      <c r="F8" s="114" t="s">
        <v>367</v>
      </c>
      <c r="G8" s="97">
        <f t="shared" si="0"/>
        <v>1.8019999999999998</v>
      </c>
      <c r="H8" s="20" t="s">
        <v>433</v>
      </c>
      <c r="I8" s="47">
        <v>4</v>
      </c>
      <c r="J8" s="47">
        <v>8</v>
      </c>
      <c r="K8" s="48">
        <v>18</v>
      </c>
      <c r="L8" s="98">
        <f t="shared" si="3"/>
        <v>30</v>
      </c>
      <c r="M8" s="121">
        <v>0</v>
      </c>
      <c r="N8" s="42">
        <f>0.106+0.036+0.068+0.041</f>
        <v>0.251</v>
      </c>
      <c r="O8" s="42">
        <v>9.1999999999999998E-2</v>
      </c>
      <c r="P8" s="42">
        <v>5.5E-2</v>
      </c>
      <c r="Q8" s="91">
        <v>1.4039999999999999</v>
      </c>
      <c r="R8" s="49"/>
      <c r="S8" s="99">
        <f t="shared" si="5"/>
        <v>0</v>
      </c>
      <c r="T8" s="100">
        <f t="shared" si="6"/>
        <v>13.928967813540513</v>
      </c>
      <c r="U8" s="100">
        <f t="shared" si="7"/>
        <v>5.105438401775805</v>
      </c>
      <c r="V8" s="100">
        <f t="shared" si="8"/>
        <v>3.0521642619311877</v>
      </c>
      <c r="W8" s="100">
        <f t="shared" si="9"/>
        <v>77.913429522752494</v>
      </c>
      <c r="X8" s="101"/>
      <c r="Y8" s="100"/>
      <c r="Z8" s="99"/>
      <c r="AA8" s="100"/>
      <c r="AB8" s="91" t="s">
        <v>221</v>
      </c>
      <c r="AC8" s="91" t="s">
        <v>220</v>
      </c>
      <c r="AD8" s="42" t="s">
        <v>219</v>
      </c>
      <c r="AE8" s="49" t="s">
        <v>218</v>
      </c>
      <c r="AF8" s="50"/>
      <c r="AG8" s="39" t="s">
        <v>95</v>
      </c>
      <c r="AH8" s="95" t="str">
        <f t="shared" si="2"/>
        <v xml:space="preserve"> ,26</v>
      </c>
      <c r="AI8" s="41" t="s">
        <v>99</v>
      </c>
      <c r="AJ8" s="42">
        <v>0.106</v>
      </c>
      <c r="AK8" s="2" t="s">
        <v>453</v>
      </c>
      <c r="AL8" s="31" t="s">
        <v>703</v>
      </c>
      <c r="AM8" s="39" t="s">
        <v>96</v>
      </c>
      <c r="AN8" s="95" t="str">
        <f t="shared" si="4"/>
        <v xml:space="preserve"> ,26</v>
      </c>
      <c r="AO8" s="41" t="s">
        <v>99</v>
      </c>
      <c r="AP8" s="42">
        <v>3.5999999999999997E-2</v>
      </c>
      <c r="AQ8" s="2" t="s">
        <v>453</v>
      </c>
      <c r="AR8" s="51" t="s">
        <v>703</v>
      </c>
      <c r="AS8" s="39" t="s">
        <v>114</v>
      </c>
      <c r="AT8" s="95" t="str">
        <f>AH8</f>
        <v xml:space="preserve"> ,26</v>
      </c>
      <c r="AU8" s="41" t="s">
        <v>99</v>
      </c>
      <c r="AV8" s="42">
        <v>6.8000000000000005E-2</v>
      </c>
      <c r="AW8" s="40" t="s">
        <v>453</v>
      </c>
      <c r="AX8" s="47" t="s">
        <v>703</v>
      </c>
      <c r="AY8" s="39" t="s">
        <v>123</v>
      </c>
      <c r="AZ8" s="95" t="str">
        <f>AT8</f>
        <v xml:space="preserve"> ,26</v>
      </c>
      <c r="BA8" s="41" t="s">
        <v>99</v>
      </c>
      <c r="BB8" s="42">
        <v>4.1000000000000002E-2</v>
      </c>
      <c r="BC8" s="40" t="s">
        <v>453</v>
      </c>
      <c r="BD8" s="51" t="s">
        <v>703</v>
      </c>
      <c r="BE8" s="39"/>
      <c r="BF8" s="40"/>
      <c r="BG8" s="41"/>
      <c r="BH8" s="42"/>
      <c r="BI8" s="40"/>
      <c r="BJ8" s="52"/>
      <c r="BK8" s="42"/>
    </row>
    <row r="9" spans="1:63" x14ac:dyDescent="0.25">
      <c r="B9" s="105"/>
      <c r="C9" s="6">
        <v>1</v>
      </c>
      <c r="D9" s="35">
        <v>5</v>
      </c>
      <c r="E9" s="35" t="s">
        <v>33</v>
      </c>
      <c r="F9" s="113" t="s">
        <v>368</v>
      </c>
      <c r="G9" s="36">
        <f t="shared" si="0"/>
        <v>2.335</v>
      </c>
      <c r="H9" s="20" t="s">
        <v>433</v>
      </c>
      <c r="I9" s="6">
        <v>2</v>
      </c>
      <c r="J9" s="6">
        <v>10</v>
      </c>
      <c r="K9" s="21">
        <v>23</v>
      </c>
      <c r="L9" s="22">
        <f t="shared" si="3"/>
        <v>35</v>
      </c>
      <c r="M9" s="117">
        <v>0</v>
      </c>
      <c r="N9" s="5">
        <f>0.149+0.076</f>
        <v>0.22499999999999998</v>
      </c>
      <c r="O9" s="5">
        <v>9.8000000000000004E-2</v>
      </c>
      <c r="P9" s="5">
        <v>5.2999999999999999E-2</v>
      </c>
      <c r="Q9" s="90">
        <v>1.9590000000000001</v>
      </c>
      <c r="R9" s="24"/>
      <c r="S9" s="25">
        <f t="shared" si="5"/>
        <v>0</v>
      </c>
      <c r="T9" s="82">
        <f t="shared" si="6"/>
        <v>9.6359743040685224</v>
      </c>
      <c r="U9" s="82">
        <f t="shared" si="7"/>
        <v>4.1970021413276237</v>
      </c>
      <c r="V9" s="82">
        <f t="shared" si="8"/>
        <v>2.2698072805139189</v>
      </c>
      <c r="W9" s="82">
        <f t="shared" si="9"/>
        <v>83.897216274089942</v>
      </c>
      <c r="X9" s="27"/>
      <c r="Y9" s="82"/>
      <c r="Z9" s="25"/>
      <c r="AA9" s="82"/>
      <c r="AB9" s="90" t="s">
        <v>225</v>
      </c>
      <c r="AC9" s="90" t="s">
        <v>224</v>
      </c>
      <c r="AD9" s="5" t="s">
        <v>223</v>
      </c>
      <c r="AE9" s="24" t="s">
        <v>222</v>
      </c>
      <c r="AF9" s="28"/>
      <c r="AG9" s="29" t="s">
        <v>95</v>
      </c>
      <c r="AH9" s="2" t="str">
        <f t="shared" si="2"/>
        <v xml:space="preserve"> ,30</v>
      </c>
      <c r="AI9" s="30" t="s">
        <v>99</v>
      </c>
      <c r="AJ9" s="5">
        <v>0.14899999999999999</v>
      </c>
      <c r="AK9" s="2" t="s">
        <v>453</v>
      </c>
      <c r="AL9" s="31" t="s">
        <v>703</v>
      </c>
      <c r="AM9" s="29" t="s">
        <v>96</v>
      </c>
      <c r="AN9" s="2" t="str">
        <f t="shared" si="4"/>
        <v xml:space="preserve"> ,30</v>
      </c>
      <c r="AO9" s="30" t="s">
        <v>99</v>
      </c>
      <c r="AP9" s="5">
        <v>7.5999999999999998E-2</v>
      </c>
      <c r="AQ9" s="2" t="s">
        <v>453</v>
      </c>
      <c r="AR9" s="3" t="s">
        <v>703</v>
      </c>
      <c r="AS9" s="29"/>
      <c r="AU9" s="30"/>
      <c r="AV9" s="5"/>
      <c r="AW9" s="2"/>
      <c r="AY9" s="45"/>
      <c r="AZ9" s="4"/>
      <c r="BA9" s="30"/>
      <c r="BB9" s="5"/>
      <c r="BE9" s="29"/>
      <c r="BG9" s="30"/>
      <c r="BH9" s="5"/>
      <c r="BJ9" s="46"/>
      <c r="BK9" s="5"/>
    </row>
    <row r="10" spans="1:63" s="40" customFormat="1" x14ac:dyDescent="0.25">
      <c r="B10" s="108"/>
      <c r="C10" s="35">
        <v>1</v>
      </c>
      <c r="D10" s="19">
        <v>6</v>
      </c>
      <c r="E10" s="19" t="s">
        <v>34</v>
      </c>
      <c r="F10" s="113" t="s">
        <v>369</v>
      </c>
      <c r="G10" s="36">
        <f t="shared" si="0"/>
        <v>2.1749999999999998</v>
      </c>
      <c r="H10" s="20" t="s">
        <v>433</v>
      </c>
      <c r="I10" s="47">
        <v>3</v>
      </c>
      <c r="J10" s="47">
        <v>9</v>
      </c>
      <c r="K10" s="48">
        <v>28</v>
      </c>
      <c r="L10" s="22">
        <f t="shared" si="3"/>
        <v>40</v>
      </c>
      <c r="M10" s="121">
        <v>0</v>
      </c>
      <c r="N10" s="42">
        <f>0.043+0.022+0.018</f>
        <v>8.3000000000000004E-2</v>
      </c>
      <c r="O10" s="42">
        <v>0.114</v>
      </c>
      <c r="P10" s="42">
        <v>9.9000000000000005E-2</v>
      </c>
      <c r="Q10" s="91">
        <v>1.879</v>
      </c>
      <c r="R10" s="49"/>
      <c r="S10" s="25">
        <f t="shared" si="5"/>
        <v>0</v>
      </c>
      <c r="T10" s="82">
        <f t="shared" si="6"/>
        <v>3.8160919540229892</v>
      </c>
      <c r="U10" s="82">
        <f t="shared" si="7"/>
        <v>5.2413793103448283</v>
      </c>
      <c r="V10" s="82">
        <f t="shared" si="8"/>
        <v>4.5517241379310356</v>
      </c>
      <c r="W10" s="82">
        <f t="shared" si="9"/>
        <v>86.390804597701148</v>
      </c>
      <c r="X10" s="27"/>
      <c r="Y10" s="82"/>
      <c r="Z10" s="25"/>
      <c r="AA10" s="82"/>
      <c r="AB10" s="91" t="s">
        <v>229</v>
      </c>
      <c r="AC10" s="91" t="s">
        <v>228</v>
      </c>
      <c r="AD10" s="42" t="s">
        <v>227</v>
      </c>
      <c r="AE10" s="49" t="s">
        <v>226</v>
      </c>
      <c r="AF10" s="50"/>
      <c r="AG10" s="39" t="s">
        <v>95</v>
      </c>
      <c r="AH10" s="40" t="str">
        <f t="shared" si="2"/>
        <v xml:space="preserve"> ,34</v>
      </c>
      <c r="AI10" s="30" t="s">
        <v>99</v>
      </c>
      <c r="AJ10" s="42">
        <v>4.2999999999999997E-2</v>
      </c>
      <c r="AK10" s="2" t="s">
        <v>453</v>
      </c>
      <c r="AL10" s="31" t="s">
        <v>703</v>
      </c>
      <c r="AM10" s="39" t="s">
        <v>96</v>
      </c>
      <c r="AN10" s="40" t="str">
        <f t="shared" si="4"/>
        <v xml:space="preserve"> ,34</v>
      </c>
      <c r="AO10" s="30" t="s">
        <v>99</v>
      </c>
      <c r="AP10" s="42">
        <v>2.1999999999999999E-2</v>
      </c>
      <c r="AQ10" s="2" t="s">
        <v>453</v>
      </c>
      <c r="AR10" s="51" t="s">
        <v>703</v>
      </c>
      <c r="AS10" s="39" t="s">
        <v>114</v>
      </c>
      <c r="AT10" s="40" t="str">
        <f>AH10</f>
        <v xml:space="preserve"> ,34</v>
      </c>
      <c r="AU10" s="30" t="s">
        <v>99</v>
      </c>
      <c r="AV10" s="42">
        <v>1.7999999999999999E-2</v>
      </c>
      <c r="AW10" s="40" t="s">
        <v>453</v>
      </c>
      <c r="AX10" s="47" t="s">
        <v>703</v>
      </c>
      <c r="AY10" s="39"/>
      <c r="BA10" s="41"/>
      <c r="BB10" s="42"/>
      <c r="BD10" s="51"/>
      <c r="BE10" s="39"/>
      <c r="BG10" s="41"/>
      <c r="BH10" s="42"/>
      <c r="BJ10" s="52"/>
      <c r="BK10" s="42"/>
    </row>
    <row r="11" spans="1:63" s="2" customFormat="1" x14ac:dyDescent="0.25">
      <c r="B11" s="105">
        <v>44650</v>
      </c>
      <c r="C11" s="35">
        <v>1</v>
      </c>
      <c r="D11" s="35">
        <v>7</v>
      </c>
      <c r="E11" s="35" t="s">
        <v>35</v>
      </c>
      <c r="F11" s="113" t="s">
        <v>370</v>
      </c>
      <c r="G11" s="36">
        <f t="shared" si="0"/>
        <v>2.1949999999999998</v>
      </c>
      <c r="H11" s="20" t="s">
        <v>433</v>
      </c>
      <c r="I11" s="6">
        <v>2</v>
      </c>
      <c r="J11" s="6">
        <v>10</v>
      </c>
      <c r="K11" s="21">
        <v>25</v>
      </c>
      <c r="L11" s="22">
        <f t="shared" si="3"/>
        <v>37</v>
      </c>
      <c r="M11" s="117">
        <v>0</v>
      </c>
      <c r="N11" s="5">
        <f>0.115+0.031</f>
        <v>0.14600000000000002</v>
      </c>
      <c r="O11" s="5">
        <v>0.121</v>
      </c>
      <c r="P11" s="5">
        <v>9.2999999999999999E-2</v>
      </c>
      <c r="Q11" s="90">
        <v>1.835</v>
      </c>
      <c r="R11" s="24"/>
      <c r="S11" s="25">
        <f t="shared" si="5"/>
        <v>0</v>
      </c>
      <c r="T11" s="82">
        <f t="shared" si="6"/>
        <v>6.6514806378132132</v>
      </c>
      <c r="U11" s="82">
        <f t="shared" si="7"/>
        <v>5.5125284738041005</v>
      </c>
      <c r="V11" s="82">
        <f t="shared" si="8"/>
        <v>4.2369020501138959</v>
      </c>
      <c r="W11" s="82">
        <f t="shared" si="9"/>
        <v>83.599088838268798</v>
      </c>
      <c r="X11" s="27"/>
      <c r="Y11" s="82"/>
      <c r="Z11" s="25"/>
      <c r="AA11" s="82"/>
      <c r="AB11" s="90" t="s">
        <v>211</v>
      </c>
      <c r="AC11" s="90" t="s">
        <v>210</v>
      </c>
      <c r="AD11" s="5" t="s">
        <v>212</v>
      </c>
      <c r="AE11" s="24" t="s">
        <v>213</v>
      </c>
      <c r="AF11" s="28"/>
      <c r="AG11" s="29" t="s">
        <v>95</v>
      </c>
      <c r="AH11" s="4" t="str">
        <f t="shared" si="2"/>
        <v xml:space="preserve"> ,38</v>
      </c>
      <c r="AI11" s="30" t="s">
        <v>99</v>
      </c>
      <c r="AJ11" s="5">
        <v>0.115</v>
      </c>
      <c r="AK11" s="2" t="s">
        <v>453</v>
      </c>
      <c r="AL11" s="31" t="s">
        <v>703</v>
      </c>
      <c r="AM11" s="29" t="s">
        <v>96</v>
      </c>
      <c r="AN11" s="4" t="str">
        <f t="shared" si="4"/>
        <v xml:space="preserve"> ,38</v>
      </c>
      <c r="AO11" s="30" t="s">
        <v>99</v>
      </c>
      <c r="AP11" s="5">
        <v>3.1E-2</v>
      </c>
      <c r="AQ11" s="2" t="s">
        <v>453</v>
      </c>
      <c r="AR11" s="31" t="s">
        <v>703</v>
      </c>
      <c r="AS11" s="29"/>
      <c r="AU11" s="30"/>
      <c r="AV11" s="5"/>
      <c r="AX11" s="6"/>
      <c r="AY11" s="29"/>
      <c r="BA11" s="30"/>
      <c r="BB11" s="5"/>
      <c r="BD11" s="31"/>
      <c r="BE11" s="29"/>
      <c r="BG11" s="30"/>
      <c r="BH11" s="5"/>
      <c r="BJ11" s="37"/>
      <c r="BK11" s="5"/>
    </row>
    <row r="12" spans="1:63" s="2" customFormat="1" x14ac:dyDescent="0.25">
      <c r="B12" s="109"/>
      <c r="C12" s="35">
        <v>1</v>
      </c>
      <c r="D12" s="35">
        <v>8</v>
      </c>
      <c r="E12" s="35" t="s">
        <v>36</v>
      </c>
      <c r="F12" s="113" t="s">
        <v>371</v>
      </c>
      <c r="G12" s="36">
        <f t="shared" si="0"/>
        <v>1.6400000000000001</v>
      </c>
      <c r="H12" s="20" t="s">
        <v>433</v>
      </c>
      <c r="I12" s="6">
        <v>3</v>
      </c>
      <c r="J12" s="6">
        <v>7</v>
      </c>
      <c r="K12" s="21">
        <v>14</v>
      </c>
      <c r="L12" s="22">
        <f t="shared" si="3"/>
        <v>24</v>
      </c>
      <c r="M12" s="117">
        <v>0</v>
      </c>
      <c r="N12" s="5">
        <f>0.142+0.063+0.034</f>
        <v>0.23899999999999999</v>
      </c>
      <c r="O12" s="5">
        <v>7.0999999999999994E-2</v>
      </c>
      <c r="P12" s="5">
        <v>3.5999999999999997E-2</v>
      </c>
      <c r="Q12" s="90">
        <v>1.294</v>
      </c>
      <c r="R12" s="24"/>
      <c r="S12" s="25">
        <f t="shared" si="5"/>
        <v>0</v>
      </c>
      <c r="T12" s="82">
        <f t="shared" si="6"/>
        <v>14.573170731707316</v>
      </c>
      <c r="U12" s="82">
        <f t="shared" si="7"/>
        <v>4.3292682926829258</v>
      </c>
      <c r="V12" s="82">
        <f t="shared" si="8"/>
        <v>2.1951219512195119</v>
      </c>
      <c r="W12" s="82">
        <f t="shared" si="9"/>
        <v>78.902439024390233</v>
      </c>
      <c r="X12" s="27"/>
      <c r="Y12" s="82"/>
      <c r="Z12" s="25"/>
      <c r="AA12" s="82"/>
      <c r="AB12" s="90" t="s">
        <v>233</v>
      </c>
      <c r="AC12" s="90" t="s">
        <v>232</v>
      </c>
      <c r="AD12" s="5" t="s">
        <v>231</v>
      </c>
      <c r="AE12" s="24" t="s">
        <v>230</v>
      </c>
      <c r="AF12" s="28"/>
      <c r="AG12" s="29" t="s">
        <v>95</v>
      </c>
      <c r="AH12" s="95" t="str">
        <f t="shared" si="2"/>
        <v xml:space="preserve"> ,42</v>
      </c>
      <c r="AI12" s="30" t="s">
        <v>99</v>
      </c>
      <c r="AJ12" s="42">
        <v>0.14199999999999999</v>
      </c>
      <c r="AK12" s="2" t="s">
        <v>453</v>
      </c>
      <c r="AL12" s="31" t="s">
        <v>703</v>
      </c>
      <c r="AM12" s="39" t="s">
        <v>96</v>
      </c>
      <c r="AN12" s="95" t="str">
        <f t="shared" si="4"/>
        <v xml:space="preserve"> ,42</v>
      </c>
      <c r="AO12" s="30" t="s">
        <v>99</v>
      </c>
      <c r="AP12" s="42">
        <v>6.3E-2</v>
      </c>
      <c r="AQ12" s="2" t="s">
        <v>453</v>
      </c>
      <c r="AR12" s="31" t="s">
        <v>703</v>
      </c>
      <c r="AS12" s="39" t="s">
        <v>114</v>
      </c>
      <c r="AT12" s="95" t="str">
        <f>AN12</f>
        <v xml:space="preserve"> ,42</v>
      </c>
      <c r="AU12" s="30" t="s">
        <v>99</v>
      </c>
      <c r="AV12" s="5">
        <v>3.4000000000000002E-2</v>
      </c>
      <c r="AW12" s="40" t="s">
        <v>453</v>
      </c>
      <c r="AX12" s="6" t="s">
        <v>703</v>
      </c>
      <c r="AY12" s="29"/>
      <c r="BA12" s="30"/>
      <c r="BB12" s="5"/>
      <c r="BD12" s="31"/>
      <c r="BE12" s="29"/>
      <c r="BG12" s="30"/>
      <c r="BH12" s="5"/>
      <c r="BJ12" s="37"/>
      <c r="BK12" s="5"/>
    </row>
    <row r="13" spans="1:63" s="2" customFormat="1" x14ac:dyDescent="0.25">
      <c r="B13" s="105">
        <v>44651</v>
      </c>
      <c r="C13" s="6">
        <v>1</v>
      </c>
      <c r="D13" s="35">
        <v>9</v>
      </c>
      <c r="E13" s="6" t="s">
        <v>37</v>
      </c>
      <c r="F13" s="113" t="s">
        <v>373</v>
      </c>
      <c r="G13" s="36">
        <f t="shared" si="0"/>
        <v>1.9430000000000001</v>
      </c>
      <c r="H13" s="20" t="s">
        <v>433</v>
      </c>
      <c r="I13" s="6" t="s">
        <v>433</v>
      </c>
      <c r="J13" s="6">
        <v>15</v>
      </c>
      <c r="K13" s="21">
        <v>15</v>
      </c>
      <c r="L13" s="22">
        <f t="shared" si="3"/>
        <v>30</v>
      </c>
      <c r="M13" s="117">
        <v>0</v>
      </c>
      <c r="N13" s="118">
        <v>0</v>
      </c>
      <c r="O13" s="5">
        <v>0.159</v>
      </c>
      <c r="P13" s="5">
        <v>4.2999999999999997E-2</v>
      </c>
      <c r="Q13" s="90">
        <v>1.7410000000000001</v>
      </c>
      <c r="R13" s="24"/>
      <c r="S13" s="25">
        <f t="shared" si="5"/>
        <v>0</v>
      </c>
      <c r="T13" s="82">
        <f t="shared" si="6"/>
        <v>0</v>
      </c>
      <c r="U13" s="82">
        <f t="shared" si="7"/>
        <v>8.1832218219248585</v>
      </c>
      <c r="V13" s="82">
        <f t="shared" si="8"/>
        <v>2.2130725681935148</v>
      </c>
      <c r="W13" s="82">
        <f t="shared" si="9"/>
        <v>89.603705609881629</v>
      </c>
      <c r="X13" s="27"/>
      <c r="Y13" s="82"/>
      <c r="Z13" s="25"/>
      <c r="AA13" s="82"/>
      <c r="AB13" s="90"/>
      <c r="AC13" s="90" t="s">
        <v>236</v>
      </c>
      <c r="AD13" s="5" t="s">
        <v>235</v>
      </c>
      <c r="AE13" s="24" t="s">
        <v>234</v>
      </c>
      <c r="AF13" s="53"/>
      <c r="AG13" s="29"/>
      <c r="AI13" s="30"/>
      <c r="AJ13" s="5"/>
      <c r="AL13" s="31"/>
      <c r="AM13" s="29"/>
      <c r="AO13" s="30"/>
      <c r="AP13" s="5"/>
      <c r="AR13" s="31"/>
      <c r="AS13" s="29"/>
      <c r="AU13" s="30"/>
      <c r="AV13" s="5"/>
      <c r="AW13" s="38"/>
      <c r="AX13" s="6"/>
      <c r="AY13" s="29"/>
      <c r="BA13" s="30"/>
      <c r="BB13" s="5"/>
      <c r="BD13" s="31"/>
      <c r="BE13" s="29"/>
      <c r="BG13" s="30"/>
      <c r="BH13" s="5"/>
      <c r="BJ13" s="37"/>
      <c r="BK13" s="5"/>
    </row>
    <row r="14" spans="1:63" x14ac:dyDescent="0.25">
      <c r="B14" s="105"/>
      <c r="C14" s="35">
        <v>1</v>
      </c>
      <c r="D14" s="35">
        <v>10</v>
      </c>
      <c r="E14" s="35" t="s">
        <v>38</v>
      </c>
      <c r="F14" s="115" t="s">
        <v>374</v>
      </c>
      <c r="G14" s="36">
        <f t="shared" si="0"/>
        <v>2.2319999999999998</v>
      </c>
      <c r="H14" s="20" t="s">
        <v>433</v>
      </c>
      <c r="I14" s="6" t="s">
        <v>433</v>
      </c>
      <c r="J14" s="6">
        <v>21</v>
      </c>
      <c r="K14" s="21">
        <v>23</v>
      </c>
      <c r="L14" s="22">
        <f t="shared" si="3"/>
        <v>44</v>
      </c>
      <c r="M14" s="117">
        <v>0</v>
      </c>
      <c r="N14" s="118">
        <v>0</v>
      </c>
      <c r="O14" s="5">
        <v>0.156</v>
      </c>
      <c r="P14" s="5">
        <v>7.0000000000000007E-2</v>
      </c>
      <c r="Q14" s="90">
        <v>2.0059999999999998</v>
      </c>
      <c r="R14" s="24"/>
      <c r="S14" s="25">
        <f t="shared" si="5"/>
        <v>0</v>
      </c>
      <c r="T14" s="82">
        <f t="shared" si="6"/>
        <v>0</v>
      </c>
      <c r="U14" s="82">
        <f t="shared" si="7"/>
        <v>6.9892473118279579</v>
      </c>
      <c r="V14" s="82">
        <f t="shared" si="8"/>
        <v>3.1362007168458788</v>
      </c>
      <c r="W14" s="82">
        <f t="shared" si="9"/>
        <v>89.87455197132617</v>
      </c>
      <c r="X14" s="27"/>
      <c r="Y14" s="82"/>
      <c r="Z14" s="25"/>
      <c r="AA14" s="82"/>
      <c r="AB14" s="90"/>
      <c r="AC14" s="90" t="s">
        <v>239</v>
      </c>
      <c r="AD14" s="5" t="s">
        <v>238</v>
      </c>
      <c r="AE14" s="24" t="s">
        <v>237</v>
      </c>
      <c r="AF14" s="53"/>
      <c r="AG14" s="29"/>
      <c r="AI14" s="30"/>
      <c r="AJ14" s="5"/>
      <c r="AL14" s="31"/>
      <c r="AM14" s="29"/>
      <c r="AO14" s="30"/>
      <c r="AP14" s="5"/>
      <c r="AQ14" s="2"/>
      <c r="AR14" s="31"/>
      <c r="AS14" s="29"/>
      <c r="AU14" s="30"/>
      <c r="AV14" s="5"/>
      <c r="AW14" s="2"/>
      <c r="AX14" s="6"/>
      <c r="AY14" s="29"/>
      <c r="BA14" s="30"/>
      <c r="BB14" s="5"/>
      <c r="BC14" s="2"/>
      <c r="BD14" s="31"/>
      <c r="BE14" s="29"/>
      <c r="BG14" s="30"/>
      <c r="BH14" s="5"/>
      <c r="BJ14" s="37"/>
      <c r="BK14" s="5"/>
    </row>
    <row r="15" spans="1:63" x14ac:dyDescent="0.25">
      <c r="B15" s="109"/>
      <c r="C15" s="35">
        <v>1</v>
      </c>
      <c r="D15" s="35">
        <v>11</v>
      </c>
      <c r="E15" s="35" t="s">
        <v>39</v>
      </c>
      <c r="F15" s="113" t="s">
        <v>375</v>
      </c>
      <c r="G15" s="36">
        <f t="shared" si="0"/>
        <v>2.2839999999999998</v>
      </c>
      <c r="H15" s="20" t="s">
        <v>433</v>
      </c>
      <c r="I15" s="6">
        <v>2</v>
      </c>
      <c r="J15" s="6">
        <v>15</v>
      </c>
      <c r="K15" s="21">
        <v>22</v>
      </c>
      <c r="L15" s="22">
        <f t="shared" si="3"/>
        <v>39</v>
      </c>
      <c r="M15" s="117">
        <v>0</v>
      </c>
      <c r="N15" s="5">
        <f>0.07+0.039</f>
        <v>0.10900000000000001</v>
      </c>
      <c r="O15" s="5">
        <v>0.108</v>
      </c>
      <c r="P15" s="5">
        <v>5.7000000000000002E-2</v>
      </c>
      <c r="Q15" s="90">
        <v>2.0099999999999998</v>
      </c>
      <c r="R15" s="24"/>
      <c r="S15" s="25">
        <f t="shared" si="5"/>
        <v>0</v>
      </c>
      <c r="T15" s="82">
        <f t="shared" si="6"/>
        <v>4.7723292469352021</v>
      </c>
      <c r="U15" s="82">
        <f t="shared" si="7"/>
        <v>4.7285464098073557</v>
      </c>
      <c r="V15" s="82">
        <f t="shared" si="8"/>
        <v>2.4956217162872156</v>
      </c>
      <c r="W15" s="82">
        <f t="shared" si="9"/>
        <v>88.003502626970217</v>
      </c>
      <c r="X15" s="27"/>
      <c r="Y15" s="82"/>
      <c r="Z15" s="25"/>
      <c r="AA15" s="82"/>
      <c r="AB15" s="90" t="s">
        <v>264</v>
      </c>
      <c r="AC15" s="90" t="s">
        <v>263</v>
      </c>
      <c r="AD15" s="5" t="s">
        <v>262</v>
      </c>
      <c r="AE15" s="24" t="s">
        <v>261</v>
      </c>
      <c r="AF15" s="53"/>
      <c r="AG15" s="29" t="s">
        <v>95</v>
      </c>
      <c r="AH15" s="95" t="str">
        <f>AB15</f>
        <v xml:space="preserve"> ,52</v>
      </c>
      <c r="AI15" s="30" t="s">
        <v>99</v>
      </c>
      <c r="AJ15" s="42">
        <v>7.0000000000000007E-2</v>
      </c>
      <c r="AK15" s="40" t="s">
        <v>502</v>
      </c>
      <c r="AL15" s="31" t="s">
        <v>703</v>
      </c>
      <c r="AM15" s="39" t="s">
        <v>96</v>
      </c>
      <c r="AN15" s="95" t="str">
        <f>AH15</f>
        <v xml:space="preserve"> ,52</v>
      </c>
      <c r="AO15" s="30" t="s">
        <v>99</v>
      </c>
      <c r="AP15" s="5">
        <v>3.9E-2</v>
      </c>
      <c r="AQ15" s="40" t="s">
        <v>453</v>
      </c>
      <c r="AR15" s="31" t="s">
        <v>703</v>
      </c>
      <c r="AS15" s="29"/>
      <c r="AU15" s="30"/>
      <c r="AV15" s="5"/>
      <c r="AW15" s="38"/>
      <c r="AX15" s="6"/>
      <c r="AY15" s="29"/>
      <c r="AZ15" s="40"/>
      <c r="BA15" s="30"/>
      <c r="BB15" s="5"/>
      <c r="BC15" s="40"/>
      <c r="BD15" s="31"/>
      <c r="BE15" s="29"/>
      <c r="BF15" s="40"/>
      <c r="BG15" s="30"/>
      <c r="BH15" s="5"/>
      <c r="BI15" s="40"/>
      <c r="BJ15" s="37"/>
      <c r="BK15" s="5"/>
    </row>
    <row r="16" spans="1:63" x14ac:dyDescent="0.25">
      <c r="B16" s="109"/>
      <c r="C16" s="35">
        <v>1</v>
      </c>
      <c r="D16" s="35">
        <v>12</v>
      </c>
      <c r="E16" s="35" t="s">
        <v>40</v>
      </c>
      <c r="F16" s="113" t="s">
        <v>376</v>
      </c>
      <c r="G16" s="36">
        <f t="shared" si="0"/>
        <v>2.2280000000000002</v>
      </c>
      <c r="H16" s="20" t="s">
        <v>433</v>
      </c>
      <c r="I16" s="6">
        <v>4</v>
      </c>
      <c r="J16" s="250">
        <v>13</v>
      </c>
      <c r="K16" s="21">
        <v>27</v>
      </c>
      <c r="L16" s="22">
        <f t="shared" si="3"/>
        <v>44</v>
      </c>
      <c r="M16" s="117">
        <v>0</v>
      </c>
      <c r="N16" s="5">
        <f>0.048+0.082+0.057+0.063</f>
        <v>0.25</v>
      </c>
      <c r="O16" s="5">
        <v>0.156</v>
      </c>
      <c r="P16" s="5">
        <v>8.1000000000000003E-2</v>
      </c>
      <c r="Q16" s="90">
        <v>1.7410000000000001</v>
      </c>
      <c r="R16" s="24"/>
      <c r="S16" s="25">
        <f t="shared" si="5"/>
        <v>0</v>
      </c>
      <c r="T16" s="82">
        <f t="shared" si="6"/>
        <v>11.220825852782763</v>
      </c>
      <c r="U16" s="82">
        <f t="shared" si="7"/>
        <v>7.0017953321364441</v>
      </c>
      <c r="V16" s="82">
        <f t="shared" si="8"/>
        <v>3.6355475763016156</v>
      </c>
      <c r="W16" s="82">
        <f t="shared" si="9"/>
        <v>78.141831238779176</v>
      </c>
      <c r="X16" s="27"/>
      <c r="Y16" s="82"/>
      <c r="Z16" s="25"/>
      <c r="AA16" s="82"/>
      <c r="AB16" s="90" t="s">
        <v>241</v>
      </c>
      <c r="AC16" s="90" t="s">
        <v>240</v>
      </c>
      <c r="AD16" s="5" t="s">
        <v>266</v>
      </c>
      <c r="AE16" s="24" t="s">
        <v>265</v>
      </c>
      <c r="AF16" s="28"/>
      <c r="AG16" s="29" t="s">
        <v>95</v>
      </c>
      <c r="AH16" s="95" t="str">
        <f>AB16</f>
        <v xml:space="preserve"> ,56</v>
      </c>
      <c r="AI16" s="30" t="s">
        <v>99</v>
      </c>
      <c r="AJ16" s="42">
        <v>4.8000000000000001E-2</v>
      </c>
      <c r="AK16" s="40" t="s">
        <v>502</v>
      </c>
      <c r="AL16" s="31" t="s">
        <v>703</v>
      </c>
      <c r="AM16" s="39" t="s">
        <v>96</v>
      </c>
      <c r="AN16" s="95" t="str">
        <f>AH16</f>
        <v xml:space="preserve"> ,56</v>
      </c>
      <c r="AO16" s="30" t="s">
        <v>99</v>
      </c>
      <c r="AP16" s="5">
        <v>8.2000000000000003E-2</v>
      </c>
      <c r="AQ16" s="40" t="s">
        <v>453</v>
      </c>
      <c r="AR16" s="3" t="s">
        <v>703</v>
      </c>
      <c r="AS16" s="29" t="s">
        <v>114</v>
      </c>
      <c r="AT16" s="4" t="str">
        <f>AH16</f>
        <v xml:space="preserve"> ,56</v>
      </c>
      <c r="AU16" s="30" t="s">
        <v>99</v>
      </c>
      <c r="AV16" s="5">
        <v>5.7000000000000002E-2</v>
      </c>
      <c r="AW16" s="2" t="s">
        <v>453</v>
      </c>
      <c r="AX16" s="5" t="s">
        <v>703</v>
      </c>
      <c r="AY16" s="29" t="s">
        <v>123</v>
      </c>
      <c r="AZ16" s="4" t="str">
        <f>AH16</f>
        <v xml:space="preserve"> ,56</v>
      </c>
      <c r="BA16" s="30" t="s">
        <v>99</v>
      </c>
      <c r="BB16" s="5">
        <v>6.3E-2</v>
      </c>
      <c r="BC16" s="2" t="s">
        <v>453</v>
      </c>
      <c r="BD16" s="3" t="s">
        <v>703</v>
      </c>
      <c r="BE16" s="29"/>
      <c r="BG16" s="30"/>
      <c r="BH16" s="5"/>
      <c r="BJ16" s="46"/>
      <c r="BK16" s="5"/>
    </row>
    <row r="17" spans="2:63" x14ac:dyDescent="0.25">
      <c r="B17" s="105">
        <v>44652</v>
      </c>
      <c r="C17" s="6">
        <v>1</v>
      </c>
      <c r="D17" s="35">
        <v>13</v>
      </c>
      <c r="E17" s="35" t="s">
        <v>41</v>
      </c>
      <c r="F17" s="113" t="s">
        <v>377</v>
      </c>
      <c r="G17" s="36">
        <f t="shared" si="0"/>
        <v>2.452</v>
      </c>
      <c r="H17" s="20" t="s">
        <v>433</v>
      </c>
      <c r="I17" s="6">
        <v>1</v>
      </c>
      <c r="J17" s="6">
        <v>7</v>
      </c>
      <c r="K17" s="21">
        <v>30</v>
      </c>
      <c r="L17" s="22">
        <f t="shared" si="3"/>
        <v>38</v>
      </c>
      <c r="M17" s="117">
        <v>0</v>
      </c>
      <c r="N17" s="5">
        <v>7.6999999999999999E-2</v>
      </c>
      <c r="O17" s="5">
        <v>0.13800000000000001</v>
      </c>
      <c r="P17" s="5">
        <v>0.113</v>
      </c>
      <c r="Q17" s="90">
        <v>2.1240000000000001</v>
      </c>
      <c r="R17" s="24"/>
      <c r="S17" s="25">
        <f t="shared" si="5"/>
        <v>0</v>
      </c>
      <c r="T17" s="82">
        <f t="shared" si="6"/>
        <v>3.1402936378466557</v>
      </c>
      <c r="U17" s="82">
        <f t="shared" si="7"/>
        <v>5.6280587275693312</v>
      </c>
      <c r="V17" s="82">
        <f t="shared" si="8"/>
        <v>4.6084828711256121</v>
      </c>
      <c r="W17" s="82">
        <f t="shared" si="9"/>
        <v>86.623164763458405</v>
      </c>
      <c r="X17" s="27"/>
      <c r="Y17" s="82"/>
      <c r="Z17" s="25"/>
      <c r="AA17" s="82"/>
      <c r="AB17" s="90" t="s">
        <v>260</v>
      </c>
      <c r="AC17" s="90" t="s">
        <v>259</v>
      </c>
      <c r="AD17" s="5" t="s">
        <v>258</v>
      </c>
      <c r="AE17" s="24" t="s">
        <v>257</v>
      </c>
      <c r="AF17" s="28"/>
      <c r="AG17" s="29" t="s">
        <v>95</v>
      </c>
      <c r="AH17" s="4" t="str">
        <f>AB17</f>
        <v xml:space="preserve"> ,60</v>
      </c>
      <c r="AI17" s="30" t="s">
        <v>99</v>
      </c>
      <c r="AJ17" s="5">
        <v>7.6999999999999999E-2</v>
      </c>
      <c r="AK17" s="40" t="s">
        <v>502</v>
      </c>
      <c r="AL17" s="31" t="s">
        <v>703</v>
      </c>
      <c r="AM17" s="29"/>
      <c r="AN17" s="74"/>
      <c r="AO17" s="30"/>
      <c r="AP17" s="5"/>
      <c r="AQ17" s="40"/>
      <c r="AS17" s="29"/>
      <c r="AU17" s="30"/>
      <c r="AV17" s="5"/>
      <c r="AW17" s="2"/>
      <c r="AY17" s="29"/>
      <c r="BA17" s="30"/>
      <c r="BB17" s="5"/>
      <c r="BC17" s="2"/>
      <c r="BE17" s="29"/>
      <c r="BG17" s="30"/>
      <c r="BH17" s="5"/>
      <c r="BJ17" s="46"/>
      <c r="BK17" s="5"/>
    </row>
    <row r="18" spans="2:63" x14ac:dyDescent="0.25">
      <c r="B18" s="105"/>
      <c r="C18" s="35">
        <v>1</v>
      </c>
      <c r="D18" s="35">
        <v>14</v>
      </c>
      <c r="E18" s="35" t="s">
        <v>42</v>
      </c>
      <c r="F18" s="113" t="s">
        <v>378</v>
      </c>
      <c r="G18" s="36">
        <f t="shared" si="0"/>
        <v>1.786</v>
      </c>
      <c r="H18" s="20" t="s">
        <v>433</v>
      </c>
      <c r="I18" s="6" t="s">
        <v>433</v>
      </c>
      <c r="J18" s="6">
        <v>10</v>
      </c>
      <c r="K18" s="21">
        <v>17</v>
      </c>
      <c r="L18" s="22">
        <f t="shared" si="3"/>
        <v>27</v>
      </c>
      <c r="M18" s="117">
        <v>0</v>
      </c>
      <c r="N18" s="118">
        <v>0</v>
      </c>
      <c r="O18" s="5">
        <v>0.17799999999999999</v>
      </c>
      <c r="P18" s="5">
        <v>5.3999999999999999E-2</v>
      </c>
      <c r="Q18" s="90">
        <v>1.554</v>
      </c>
      <c r="R18" s="24"/>
      <c r="S18" s="25">
        <f t="shared" si="5"/>
        <v>0</v>
      </c>
      <c r="T18" s="82">
        <f t="shared" si="6"/>
        <v>0</v>
      </c>
      <c r="U18" s="82">
        <f t="shared" si="7"/>
        <v>9.9664053751399759</v>
      </c>
      <c r="V18" s="82">
        <f t="shared" si="8"/>
        <v>3.0235162374020152</v>
      </c>
      <c r="W18" s="82">
        <f t="shared" si="9"/>
        <v>87.010078387458009</v>
      </c>
      <c r="X18" s="27"/>
      <c r="Y18" s="82"/>
      <c r="Z18" s="25"/>
      <c r="AA18" s="82"/>
      <c r="AB18" s="90" t="s">
        <v>209</v>
      </c>
      <c r="AC18" s="90" t="s">
        <v>256</v>
      </c>
      <c r="AD18" s="5" t="s">
        <v>255</v>
      </c>
      <c r="AE18" s="24" t="s">
        <v>254</v>
      </c>
      <c r="AF18" s="28"/>
      <c r="AG18" s="29"/>
      <c r="AI18" s="30"/>
      <c r="AJ18" s="5"/>
      <c r="AM18" s="29"/>
      <c r="AO18" s="30"/>
      <c r="AP18" s="5"/>
      <c r="AQ18" s="2"/>
      <c r="AS18" s="29"/>
      <c r="AU18" s="30"/>
      <c r="AV18" s="5"/>
      <c r="AW18" s="2"/>
      <c r="AY18" s="29"/>
      <c r="BA18" s="30"/>
      <c r="BB18" s="5"/>
      <c r="BC18" s="2"/>
      <c r="BE18" s="29"/>
      <c r="BG18" s="30"/>
      <c r="BH18" s="5"/>
      <c r="BJ18" s="46"/>
      <c r="BK18" s="5"/>
    </row>
    <row r="19" spans="2:63" x14ac:dyDescent="0.25">
      <c r="B19" s="105"/>
      <c r="C19" s="35">
        <v>1</v>
      </c>
      <c r="D19" s="6">
        <v>15</v>
      </c>
      <c r="E19" s="6" t="s">
        <v>43</v>
      </c>
      <c r="F19" s="113" t="s">
        <v>379</v>
      </c>
      <c r="G19" s="36">
        <f t="shared" si="0"/>
        <v>1.9319999999999999</v>
      </c>
      <c r="H19" s="20" t="s">
        <v>433</v>
      </c>
      <c r="I19" s="6">
        <v>1</v>
      </c>
      <c r="J19" s="6">
        <v>9</v>
      </c>
      <c r="K19" s="21">
        <v>14</v>
      </c>
      <c r="L19" s="22">
        <f t="shared" si="3"/>
        <v>24</v>
      </c>
      <c r="M19" s="117">
        <v>0</v>
      </c>
      <c r="N19" s="5">
        <v>4.2000000000000003E-2</v>
      </c>
      <c r="O19" s="5">
        <v>9.6000000000000002E-2</v>
      </c>
      <c r="P19" s="5">
        <v>3.5999999999999997E-2</v>
      </c>
      <c r="Q19" s="90">
        <v>1.758</v>
      </c>
      <c r="R19" s="24"/>
      <c r="S19" s="25">
        <f t="shared" si="5"/>
        <v>0</v>
      </c>
      <c r="T19" s="82">
        <f t="shared" si="6"/>
        <v>2.1739130434782612</v>
      </c>
      <c r="U19" s="82">
        <f t="shared" si="7"/>
        <v>4.9689440993788825</v>
      </c>
      <c r="V19" s="82">
        <f t="shared" si="8"/>
        <v>1.8633540372670807</v>
      </c>
      <c r="W19" s="82">
        <f t="shared" si="9"/>
        <v>90.993788819875775</v>
      </c>
      <c r="X19" s="27"/>
      <c r="Y19" s="82"/>
      <c r="Z19" s="25"/>
      <c r="AA19" s="82"/>
      <c r="AB19" s="90" t="s">
        <v>242</v>
      </c>
      <c r="AC19" s="90" t="s">
        <v>243</v>
      </c>
      <c r="AD19" s="5" t="s">
        <v>244</v>
      </c>
      <c r="AE19" s="24" t="s">
        <v>245</v>
      </c>
      <c r="AF19" s="53"/>
      <c r="AG19" s="29" t="s">
        <v>95</v>
      </c>
      <c r="AH19" s="4" t="str">
        <f>AB19</f>
        <v xml:space="preserve"> ,67</v>
      </c>
      <c r="AI19" s="30" t="s">
        <v>99</v>
      </c>
      <c r="AJ19" s="5">
        <v>4.2000000000000003E-2</v>
      </c>
      <c r="AK19" s="2" t="s">
        <v>502</v>
      </c>
      <c r="AL19" s="31" t="s">
        <v>703</v>
      </c>
      <c r="AM19" s="29"/>
      <c r="AO19" s="30"/>
      <c r="AP19" s="5"/>
      <c r="AQ19" s="2"/>
      <c r="AR19" s="31"/>
      <c r="AS19" s="29"/>
      <c r="AU19" s="30"/>
      <c r="AV19" s="5"/>
      <c r="AW19" s="2"/>
      <c r="AX19" s="6"/>
      <c r="AY19" s="29"/>
      <c r="BA19" s="30"/>
      <c r="BB19" s="5"/>
      <c r="BC19" s="2"/>
      <c r="BD19" s="31"/>
      <c r="BE19" s="29"/>
      <c r="BG19" s="30"/>
      <c r="BH19" s="5"/>
      <c r="BJ19" s="37"/>
      <c r="BK19" s="5"/>
    </row>
    <row r="20" spans="2:63" x14ac:dyDescent="0.25">
      <c r="B20" s="105">
        <v>44655</v>
      </c>
      <c r="C20" s="35">
        <v>1</v>
      </c>
      <c r="D20" s="35">
        <v>16</v>
      </c>
      <c r="E20" s="35" t="s">
        <v>44</v>
      </c>
      <c r="F20" s="113" t="s">
        <v>380</v>
      </c>
      <c r="G20" s="36">
        <f t="shared" si="0"/>
        <v>2.3679999999999999</v>
      </c>
      <c r="H20" s="20" t="s">
        <v>433</v>
      </c>
      <c r="I20" s="6">
        <v>1</v>
      </c>
      <c r="J20" s="6">
        <v>14</v>
      </c>
      <c r="K20" s="21">
        <v>28</v>
      </c>
      <c r="L20" s="22">
        <f t="shared" si="3"/>
        <v>43</v>
      </c>
      <c r="M20" s="117">
        <v>0</v>
      </c>
      <c r="N20" s="5">
        <v>0.13300000000000001</v>
      </c>
      <c r="O20" s="5">
        <v>0.10299999999999999</v>
      </c>
      <c r="P20" s="5">
        <v>7.1999999999999995E-2</v>
      </c>
      <c r="Q20" s="90">
        <v>2.06</v>
      </c>
      <c r="R20" s="24"/>
      <c r="S20" s="25">
        <f t="shared" si="5"/>
        <v>0</v>
      </c>
      <c r="T20" s="82">
        <f t="shared" si="6"/>
        <v>5.6165540540540553</v>
      </c>
      <c r="U20" s="82">
        <f t="shared" si="7"/>
        <v>4.3496621621621623</v>
      </c>
      <c r="V20" s="82">
        <f t="shared" si="8"/>
        <v>3.0405405405405403</v>
      </c>
      <c r="W20" s="82">
        <f t="shared" si="9"/>
        <v>86.993243243243242</v>
      </c>
      <c r="X20" s="27"/>
      <c r="Y20" s="82"/>
      <c r="Z20" s="25"/>
      <c r="AA20" s="82"/>
      <c r="AB20" s="90" t="s">
        <v>249</v>
      </c>
      <c r="AC20" s="90" t="s">
        <v>248</v>
      </c>
      <c r="AD20" s="5" t="s">
        <v>247</v>
      </c>
      <c r="AE20" s="24" t="s">
        <v>246</v>
      </c>
      <c r="AF20" s="28"/>
      <c r="AG20" s="29" t="s">
        <v>95</v>
      </c>
      <c r="AH20" s="4" t="str">
        <f>AB20</f>
        <v xml:space="preserve"> ,71</v>
      </c>
      <c r="AI20" s="30" t="s">
        <v>99</v>
      </c>
      <c r="AJ20" s="5">
        <v>0.13300000000000001</v>
      </c>
      <c r="AK20" s="2" t="s">
        <v>502</v>
      </c>
      <c r="AL20" s="31" t="s">
        <v>703</v>
      </c>
      <c r="AM20" s="29"/>
      <c r="AN20" s="43"/>
      <c r="AO20" s="30"/>
      <c r="AP20" s="5"/>
      <c r="AQ20" s="43"/>
      <c r="AS20" s="29"/>
      <c r="AU20" s="30"/>
      <c r="AV20" s="5"/>
      <c r="AW20" s="2"/>
      <c r="AY20" s="29"/>
      <c r="BA20" s="30"/>
      <c r="BB20" s="5"/>
      <c r="BC20" s="2"/>
      <c r="BE20" s="29"/>
      <c r="BG20" s="30"/>
      <c r="BH20" s="5"/>
      <c r="BJ20" s="46"/>
      <c r="BK20" s="5"/>
    </row>
    <row r="21" spans="2:63" x14ac:dyDescent="0.25">
      <c r="B21" s="105"/>
      <c r="C21" s="6">
        <v>1</v>
      </c>
      <c r="D21" s="35">
        <v>17</v>
      </c>
      <c r="E21" s="35" t="s">
        <v>45</v>
      </c>
      <c r="F21" s="113" t="s">
        <v>381</v>
      </c>
      <c r="G21" s="36">
        <f t="shared" si="0"/>
        <v>2.4050000000000002</v>
      </c>
      <c r="H21" s="20" t="s">
        <v>433</v>
      </c>
      <c r="I21" s="6">
        <v>2</v>
      </c>
      <c r="J21" s="6">
        <v>8</v>
      </c>
      <c r="K21" s="21">
        <v>25</v>
      </c>
      <c r="L21" s="22">
        <f t="shared" si="3"/>
        <v>35</v>
      </c>
      <c r="M21" s="117">
        <v>0</v>
      </c>
      <c r="N21" s="5">
        <f>0.093+0.039</f>
        <v>0.13200000000000001</v>
      </c>
      <c r="O21" s="5">
        <v>0.14399999999999999</v>
      </c>
      <c r="P21" s="5">
        <v>8.5000000000000006E-2</v>
      </c>
      <c r="Q21" s="90">
        <v>2.044</v>
      </c>
      <c r="R21" s="24"/>
      <c r="S21" s="25">
        <f t="shared" si="5"/>
        <v>0</v>
      </c>
      <c r="T21" s="82">
        <f t="shared" si="6"/>
        <v>5.488565488565488</v>
      </c>
      <c r="U21" s="82">
        <f t="shared" si="7"/>
        <v>5.9875259875259861</v>
      </c>
      <c r="V21" s="82">
        <f t="shared" si="8"/>
        <v>3.5343035343035343</v>
      </c>
      <c r="W21" s="82">
        <f t="shared" si="9"/>
        <v>84.989604989604985</v>
      </c>
      <c r="X21" s="27"/>
      <c r="Y21" s="82"/>
      <c r="Z21" s="25"/>
      <c r="AA21" s="82"/>
      <c r="AB21" s="90" t="s">
        <v>253</v>
      </c>
      <c r="AC21" s="90" t="s">
        <v>252</v>
      </c>
      <c r="AD21" s="5" t="s">
        <v>251</v>
      </c>
      <c r="AE21" s="24" t="s">
        <v>250</v>
      </c>
      <c r="AF21" s="28"/>
      <c r="AG21" s="29" t="s">
        <v>95</v>
      </c>
      <c r="AH21" s="4" t="str">
        <f>AB21</f>
        <v xml:space="preserve"> ,75</v>
      </c>
      <c r="AI21" s="30" t="s">
        <v>99</v>
      </c>
      <c r="AJ21" s="5">
        <v>9.2999999999999999E-2</v>
      </c>
      <c r="AK21" s="2" t="s">
        <v>502</v>
      </c>
      <c r="AL21" s="31" t="s">
        <v>703</v>
      </c>
      <c r="AM21" s="29" t="s">
        <v>96</v>
      </c>
      <c r="AN21" s="4" t="str">
        <f>AH21</f>
        <v xml:space="preserve"> ,75</v>
      </c>
      <c r="AO21" s="30" t="s">
        <v>99</v>
      </c>
      <c r="AP21" s="5">
        <v>3.9E-2</v>
      </c>
      <c r="AQ21" s="2" t="s">
        <v>453</v>
      </c>
      <c r="AR21" s="3" t="s">
        <v>703</v>
      </c>
      <c r="AS21" s="29"/>
      <c r="AU21" s="30"/>
      <c r="AV21" s="5"/>
      <c r="AW21" s="2"/>
      <c r="AY21" s="29"/>
      <c r="BA21" s="30"/>
      <c r="BB21" s="5"/>
      <c r="BC21" s="2"/>
      <c r="BE21" s="29"/>
      <c r="BG21" s="30"/>
      <c r="BH21" s="5"/>
      <c r="BJ21" s="46"/>
      <c r="BK21" s="5"/>
    </row>
    <row r="22" spans="2:63" x14ac:dyDescent="0.25">
      <c r="B22" s="105"/>
      <c r="C22" s="35">
        <v>1</v>
      </c>
      <c r="D22" s="35">
        <v>18</v>
      </c>
      <c r="E22" s="35" t="s">
        <v>46</v>
      </c>
      <c r="F22" s="113" t="s">
        <v>382</v>
      </c>
      <c r="G22" s="36">
        <f t="shared" si="0"/>
        <v>1.9660000000000002</v>
      </c>
      <c r="H22" s="20" t="s">
        <v>433</v>
      </c>
      <c r="I22" s="6">
        <v>2</v>
      </c>
      <c r="J22" s="6">
        <v>5</v>
      </c>
      <c r="K22" s="21">
        <v>25</v>
      </c>
      <c r="L22" s="22">
        <f t="shared" si="3"/>
        <v>32</v>
      </c>
      <c r="M22" s="117">
        <v>0</v>
      </c>
      <c r="N22" s="5">
        <f>0.093+0.053</f>
        <v>0.14599999999999999</v>
      </c>
      <c r="O22" s="5">
        <v>8.7999999999999995E-2</v>
      </c>
      <c r="P22" s="5">
        <v>0.11</v>
      </c>
      <c r="Q22" s="90">
        <v>1.6220000000000001</v>
      </c>
      <c r="R22" s="24"/>
      <c r="S22" s="25">
        <f t="shared" si="5"/>
        <v>0</v>
      </c>
      <c r="T22" s="82">
        <f t="shared" si="6"/>
        <v>7.4262461851475061</v>
      </c>
      <c r="U22" s="82">
        <f t="shared" si="7"/>
        <v>4.4760935910478121</v>
      </c>
      <c r="V22" s="82">
        <f t="shared" si="8"/>
        <v>5.5951169888097656</v>
      </c>
      <c r="W22" s="82">
        <f t="shared" si="9"/>
        <v>82.502543234994903</v>
      </c>
      <c r="X22" s="27"/>
      <c r="Y22" s="82"/>
      <c r="Z22" s="25"/>
      <c r="AA22" s="82"/>
      <c r="AB22" s="90" t="s">
        <v>270</v>
      </c>
      <c r="AC22" s="90" t="s">
        <v>269</v>
      </c>
      <c r="AD22" s="5" t="s">
        <v>268</v>
      </c>
      <c r="AE22" s="24" t="s">
        <v>267</v>
      </c>
      <c r="AF22" s="28"/>
      <c r="AG22" s="29" t="s">
        <v>95</v>
      </c>
      <c r="AH22" s="2" t="str">
        <f>AB22</f>
        <v xml:space="preserve"> ,79</v>
      </c>
      <c r="AI22" s="30" t="s">
        <v>99</v>
      </c>
      <c r="AJ22" s="5">
        <v>9.2999999999999999E-2</v>
      </c>
      <c r="AK22" s="2" t="s">
        <v>502</v>
      </c>
      <c r="AL22" s="31" t="s">
        <v>703</v>
      </c>
      <c r="AM22" s="29" t="s">
        <v>96</v>
      </c>
      <c r="AN22" s="2" t="str">
        <f>AH22</f>
        <v xml:space="preserve"> ,79</v>
      </c>
      <c r="AO22" s="30" t="s">
        <v>99</v>
      </c>
      <c r="AP22" s="5">
        <v>5.2999999999999999E-2</v>
      </c>
      <c r="AQ22" s="2" t="s">
        <v>453</v>
      </c>
      <c r="AR22" s="3" t="s">
        <v>703</v>
      </c>
      <c r="AS22" s="29"/>
      <c r="AU22" s="30"/>
      <c r="AV22" s="5"/>
      <c r="AW22" s="2"/>
      <c r="AY22" s="29"/>
      <c r="BA22" s="30"/>
      <c r="BB22" s="5"/>
      <c r="BC22" s="2"/>
      <c r="BE22" s="29"/>
      <c r="BG22" s="30"/>
      <c r="BH22" s="5"/>
      <c r="BJ22" s="46"/>
      <c r="BK22" s="5"/>
    </row>
    <row r="23" spans="2:63" x14ac:dyDescent="0.25">
      <c r="B23" s="105"/>
      <c r="C23" s="35">
        <v>1</v>
      </c>
      <c r="D23" s="35">
        <v>19</v>
      </c>
      <c r="E23" s="35" t="s">
        <v>47</v>
      </c>
      <c r="F23" s="113" t="s">
        <v>383</v>
      </c>
      <c r="G23" s="36">
        <f t="shared" si="0"/>
        <v>2.1110000000000002</v>
      </c>
      <c r="H23" s="20" t="s">
        <v>433</v>
      </c>
      <c r="I23" s="6" t="s">
        <v>433</v>
      </c>
      <c r="J23" s="6">
        <v>9</v>
      </c>
      <c r="K23" s="21">
        <v>26</v>
      </c>
      <c r="L23" s="22">
        <f t="shared" si="3"/>
        <v>35</v>
      </c>
      <c r="M23" s="117">
        <v>0</v>
      </c>
      <c r="N23" s="118">
        <v>0</v>
      </c>
      <c r="O23" s="5">
        <v>0.16700000000000001</v>
      </c>
      <c r="P23" s="5">
        <v>0.09</v>
      </c>
      <c r="Q23" s="90">
        <v>1.8540000000000001</v>
      </c>
      <c r="R23" s="24"/>
      <c r="S23" s="25">
        <f t="shared" si="5"/>
        <v>0</v>
      </c>
      <c r="T23" s="82">
        <f t="shared" si="6"/>
        <v>0</v>
      </c>
      <c r="U23" s="82">
        <f t="shared" si="7"/>
        <v>7.9109426811937471</v>
      </c>
      <c r="V23" s="82">
        <f t="shared" si="8"/>
        <v>4.2633822832780668</v>
      </c>
      <c r="W23" s="82">
        <f t="shared" si="9"/>
        <v>87.825675035528178</v>
      </c>
      <c r="X23" s="27"/>
      <c r="Y23" s="82"/>
      <c r="Z23" s="25"/>
      <c r="AA23" s="82"/>
      <c r="AB23" s="90"/>
      <c r="AC23" s="90" t="s">
        <v>273</v>
      </c>
      <c r="AD23" s="5" t="s">
        <v>272</v>
      </c>
      <c r="AE23" s="24" t="s">
        <v>271</v>
      </c>
      <c r="AF23" s="28"/>
      <c r="AG23" s="29"/>
      <c r="AH23" s="43"/>
      <c r="AI23" s="30"/>
      <c r="AJ23" s="5"/>
      <c r="AK23" s="43"/>
      <c r="AM23" s="29"/>
      <c r="AN23" s="43"/>
      <c r="AO23" s="30"/>
      <c r="AP23" s="5"/>
      <c r="AQ23" s="43"/>
      <c r="AS23" s="29"/>
      <c r="AU23" s="30"/>
      <c r="AV23" s="5"/>
      <c r="AW23" s="2"/>
      <c r="AY23" s="29"/>
      <c r="BA23" s="30"/>
      <c r="BB23" s="5"/>
      <c r="BC23" s="2"/>
      <c r="BE23" s="29"/>
      <c r="BG23" s="30"/>
      <c r="BH23" s="5"/>
      <c r="BJ23" s="46"/>
      <c r="BK23" s="5"/>
    </row>
    <row r="24" spans="2:63" s="96" customFormat="1" x14ac:dyDescent="0.25">
      <c r="B24" s="108">
        <v>44656</v>
      </c>
      <c r="C24" s="19">
        <v>1</v>
      </c>
      <c r="D24" s="19">
        <v>20</v>
      </c>
      <c r="E24" s="19" t="s">
        <v>48</v>
      </c>
      <c r="F24" s="114" t="s">
        <v>384</v>
      </c>
      <c r="G24" s="97">
        <f t="shared" si="0"/>
        <v>2.2650000000000001</v>
      </c>
      <c r="H24" s="20" t="s">
        <v>433</v>
      </c>
      <c r="I24" s="47">
        <v>2</v>
      </c>
      <c r="J24" s="47">
        <v>12</v>
      </c>
      <c r="K24" s="48">
        <v>31</v>
      </c>
      <c r="L24" s="98">
        <f t="shared" si="3"/>
        <v>45</v>
      </c>
      <c r="M24" s="121">
        <v>0</v>
      </c>
      <c r="N24" s="42">
        <f>0.042+0.035</f>
        <v>7.7000000000000013E-2</v>
      </c>
      <c r="O24" s="42">
        <v>0.111</v>
      </c>
      <c r="P24" s="42">
        <v>8.8999999999999996E-2</v>
      </c>
      <c r="Q24" s="91">
        <v>1.988</v>
      </c>
      <c r="R24" s="49"/>
      <c r="S24" s="99">
        <f t="shared" si="5"/>
        <v>0</v>
      </c>
      <c r="T24" s="100">
        <f t="shared" si="6"/>
        <v>3.3995584988962477</v>
      </c>
      <c r="U24" s="100">
        <f t="shared" si="7"/>
        <v>4.9006622516556293</v>
      </c>
      <c r="V24" s="100">
        <f t="shared" si="8"/>
        <v>3.9293598233995577</v>
      </c>
      <c r="W24" s="100">
        <f t="shared" si="9"/>
        <v>87.770419426048562</v>
      </c>
      <c r="X24" s="101"/>
      <c r="Y24" s="100"/>
      <c r="Z24" s="99"/>
      <c r="AA24" s="100"/>
      <c r="AB24" s="91" t="s">
        <v>277</v>
      </c>
      <c r="AC24" s="91" t="s">
        <v>276</v>
      </c>
      <c r="AD24" s="42" t="s">
        <v>275</v>
      </c>
      <c r="AE24" s="49" t="s">
        <v>274</v>
      </c>
      <c r="AF24" s="50"/>
      <c r="AG24" s="39" t="s">
        <v>95</v>
      </c>
      <c r="AH24" s="95" t="str">
        <f t="shared" ref="AH24:AH31" si="10">AB24</f>
        <v xml:space="preserve"> ,86</v>
      </c>
      <c r="AI24" s="41" t="s">
        <v>99</v>
      </c>
      <c r="AJ24" s="42">
        <v>4.2000000000000003E-2</v>
      </c>
      <c r="AK24" s="40" t="s">
        <v>502</v>
      </c>
      <c r="AL24" s="102" t="s">
        <v>703</v>
      </c>
      <c r="AM24" s="39" t="s">
        <v>96</v>
      </c>
      <c r="AN24" s="95" t="str">
        <f>AH24</f>
        <v xml:space="preserve"> ,86</v>
      </c>
      <c r="AO24" s="41" t="s">
        <v>99</v>
      </c>
      <c r="AP24" s="42">
        <v>3.5000000000000003E-2</v>
      </c>
      <c r="AQ24" s="40" t="s">
        <v>453</v>
      </c>
      <c r="AR24" s="102" t="s">
        <v>703</v>
      </c>
      <c r="AS24" s="39"/>
      <c r="AT24" s="40"/>
      <c r="AU24" s="41"/>
      <c r="AV24" s="42"/>
      <c r="AW24" s="40"/>
      <c r="AX24" s="42"/>
      <c r="AY24" s="39"/>
      <c r="AZ24" s="40"/>
      <c r="BA24" s="41"/>
      <c r="BB24" s="42"/>
      <c r="BC24" s="40"/>
      <c r="BD24" s="102"/>
      <c r="BE24" s="39"/>
      <c r="BF24" s="40"/>
      <c r="BG24" s="41"/>
      <c r="BH24" s="42"/>
      <c r="BI24" s="40"/>
      <c r="BJ24" s="103"/>
      <c r="BK24" s="42"/>
    </row>
    <row r="25" spans="2:63" x14ac:dyDescent="0.25">
      <c r="B25" s="105"/>
      <c r="C25" s="6">
        <v>1</v>
      </c>
      <c r="D25" s="35">
        <v>21</v>
      </c>
      <c r="E25" s="35" t="s">
        <v>49</v>
      </c>
      <c r="F25" s="113" t="s">
        <v>385</v>
      </c>
      <c r="G25" s="36">
        <f t="shared" si="0"/>
        <v>2.0089999999999999</v>
      </c>
      <c r="H25" s="20" t="s">
        <v>433</v>
      </c>
      <c r="I25" s="6">
        <v>1</v>
      </c>
      <c r="J25" s="6">
        <v>14</v>
      </c>
      <c r="K25" s="21">
        <v>24</v>
      </c>
      <c r="L25" s="22">
        <f t="shared" si="3"/>
        <v>39</v>
      </c>
      <c r="M25" s="117">
        <v>0</v>
      </c>
      <c r="N25" s="5">
        <v>3.9E-2</v>
      </c>
      <c r="O25" s="5">
        <v>0.14799999999999999</v>
      </c>
      <c r="P25" s="5">
        <v>6.5000000000000002E-2</v>
      </c>
      <c r="Q25" s="90">
        <v>1.7569999999999999</v>
      </c>
      <c r="R25" s="24"/>
      <c r="S25" s="25">
        <f t="shared" si="5"/>
        <v>0</v>
      </c>
      <c r="T25" s="82">
        <f t="shared" si="6"/>
        <v>1.94126431060229</v>
      </c>
      <c r="U25" s="82">
        <f t="shared" si="7"/>
        <v>7.3668491786958681</v>
      </c>
      <c r="V25" s="82">
        <f t="shared" si="8"/>
        <v>3.2354405176704835</v>
      </c>
      <c r="W25" s="82">
        <f t="shared" si="9"/>
        <v>87.456445993031366</v>
      </c>
      <c r="X25" s="27"/>
      <c r="Y25" s="82"/>
      <c r="Z25" s="25"/>
      <c r="AA25" s="82"/>
      <c r="AB25" s="90" t="s">
        <v>281</v>
      </c>
      <c r="AC25" s="90" t="s">
        <v>280</v>
      </c>
      <c r="AD25" s="5" t="s">
        <v>279</v>
      </c>
      <c r="AE25" s="24" t="s">
        <v>278</v>
      </c>
      <c r="AF25" s="53"/>
      <c r="AG25" s="29" t="s">
        <v>95</v>
      </c>
      <c r="AH25" s="4" t="str">
        <f t="shared" si="10"/>
        <v xml:space="preserve"> ,90</v>
      </c>
      <c r="AI25" s="30" t="s">
        <v>99</v>
      </c>
      <c r="AJ25" s="5">
        <v>3.9E-2</v>
      </c>
      <c r="AK25" s="2" t="s">
        <v>502</v>
      </c>
      <c r="AL25" s="31" t="s">
        <v>703</v>
      </c>
      <c r="AM25" s="29"/>
      <c r="AO25" s="30"/>
      <c r="AP25" s="5"/>
      <c r="AQ25" s="2"/>
      <c r="AR25" s="31"/>
      <c r="AS25" s="29"/>
      <c r="AU25" s="30"/>
      <c r="AV25" s="5"/>
      <c r="AW25" s="2"/>
      <c r="AX25" s="6"/>
      <c r="AY25" s="29"/>
      <c r="BA25" s="30"/>
      <c r="BB25" s="5"/>
      <c r="BC25" s="2"/>
      <c r="BD25" s="31"/>
      <c r="BE25" s="29"/>
      <c r="BG25" s="30"/>
      <c r="BH25" s="5"/>
      <c r="BJ25" s="37"/>
      <c r="BK25" s="5"/>
    </row>
    <row r="26" spans="2:63" x14ac:dyDescent="0.25">
      <c r="B26" s="105"/>
      <c r="C26" s="35">
        <v>1</v>
      </c>
      <c r="D26" s="35">
        <v>22</v>
      </c>
      <c r="E26" s="35" t="s">
        <v>50</v>
      </c>
      <c r="F26" s="113" t="s">
        <v>386</v>
      </c>
      <c r="G26" s="36">
        <f t="shared" si="0"/>
        <v>2.0589999999999997</v>
      </c>
      <c r="H26" s="20" t="s">
        <v>433</v>
      </c>
      <c r="I26" s="6">
        <v>3</v>
      </c>
      <c r="J26" s="6">
        <v>6</v>
      </c>
      <c r="K26" s="21">
        <v>25</v>
      </c>
      <c r="L26" s="22">
        <f t="shared" si="3"/>
        <v>34</v>
      </c>
      <c r="M26" s="117">
        <v>0</v>
      </c>
      <c r="N26" s="5">
        <f>0.061+0.063+0.041</f>
        <v>0.16500000000000001</v>
      </c>
      <c r="O26" s="5">
        <v>6.0999999999999999E-2</v>
      </c>
      <c r="P26" s="5">
        <v>7.3999999999999996E-2</v>
      </c>
      <c r="Q26" s="90">
        <v>1.7589999999999999</v>
      </c>
      <c r="R26" s="24"/>
      <c r="S26" s="25">
        <f t="shared" si="5"/>
        <v>0</v>
      </c>
      <c r="T26" s="82">
        <f t="shared" si="6"/>
        <v>8.0135988343856255</v>
      </c>
      <c r="U26" s="82">
        <f t="shared" si="7"/>
        <v>2.9626032054395344</v>
      </c>
      <c r="V26" s="82">
        <f t="shared" si="8"/>
        <v>3.5939776590577956</v>
      </c>
      <c r="W26" s="82">
        <f t="shared" si="9"/>
        <v>85.429820301117047</v>
      </c>
      <c r="X26" s="27"/>
      <c r="Y26" s="82"/>
      <c r="Z26" s="25"/>
      <c r="AA26" s="82"/>
      <c r="AB26" s="90" t="s">
        <v>285</v>
      </c>
      <c r="AC26" s="90" t="s">
        <v>284</v>
      </c>
      <c r="AD26" s="5" t="s">
        <v>283</v>
      </c>
      <c r="AE26" s="24" t="s">
        <v>282</v>
      </c>
      <c r="AF26" s="28"/>
      <c r="AG26" s="29" t="s">
        <v>95</v>
      </c>
      <c r="AH26" s="4" t="str">
        <f t="shared" si="10"/>
        <v xml:space="preserve"> ,94</v>
      </c>
      <c r="AI26" s="30" t="s">
        <v>99</v>
      </c>
      <c r="AJ26" s="5">
        <v>6.0999999999999999E-2</v>
      </c>
      <c r="AK26" s="2" t="s">
        <v>502</v>
      </c>
      <c r="AL26" s="3" t="s">
        <v>703</v>
      </c>
      <c r="AM26" s="29" t="s">
        <v>96</v>
      </c>
      <c r="AN26" s="95" t="str">
        <f t="shared" ref="AN26:AN31" si="11">AH26</f>
        <v xml:space="preserve"> ,94</v>
      </c>
      <c r="AO26" s="30" t="s">
        <v>99</v>
      </c>
      <c r="AP26" s="5">
        <v>6.3E-2</v>
      </c>
      <c r="AQ26" s="40" t="s">
        <v>453</v>
      </c>
      <c r="AR26" s="3" t="s">
        <v>703</v>
      </c>
      <c r="AS26" s="29" t="s">
        <v>114</v>
      </c>
      <c r="AT26" s="4" t="str">
        <f>AH26</f>
        <v xml:space="preserve"> ,94</v>
      </c>
      <c r="AU26" s="30" t="s">
        <v>99</v>
      </c>
      <c r="AV26" s="5">
        <v>4.1000000000000002E-2</v>
      </c>
      <c r="AW26" s="2" t="s">
        <v>453</v>
      </c>
      <c r="AX26" s="5" t="s">
        <v>703</v>
      </c>
      <c r="AY26" s="29"/>
      <c r="BA26" s="30"/>
      <c r="BB26" s="5"/>
      <c r="BC26" s="2"/>
      <c r="BE26" s="29"/>
      <c r="BG26" s="30"/>
      <c r="BH26" s="5"/>
      <c r="BJ26" s="46"/>
      <c r="BK26" s="5"/>
    </row>
    <row r="27" spans="2:63" x14ac:dyDescent="0.25">
      <c r="B27" s="105"/>
      <c r="C27" s="35">
        <v>1</v>
      </c>
      <c r="D27" s="35">
        <v>23</v>
      </c>
      <c r="E27" s="35" t="s">
        <v>51</v>
      </c>
      <c r="F27" s="115" t="s">
        <v>430</v>
      </c>
      <c r="G27" s="36">
        <f t="shared" si="0"/>
        <v>1.9079999999999999</v>
      </c>
      <c r="H27" s="20" t="s">
        <v>433</v>
      </c>
      <c r="I27" s="6">
        <v>2</v>
      </c>
      <c r="J27" s="6">
        <v>6</v>
      </c>
      <c r="K27" s="21">
        <v>24</v>
      </c>
      <c r="L27" s="22">
        <f t="shared" si="3"/>
        <v>32</v>
      </c>
      <c r="M27" s="117">
        <v>0</v>
      </c>
      <c r="N27" s="5">
        <f>0.041+0.095</f>
        <v>0.13600000000000001</v>
      </c>
      <c r="O27" s="5">
        <v>9.1999999999999998E-2</v>
      </c>
      <c r="P27" s="5">
        <v>8.8999999999999996E-2</v>
      </c>
      <c r="Q27" s="90">
        <v>1.591</v>
      </c>
      <c r="R27" s="24"/>
      <c r="S27" s="25">
        <f t="shared" si="5"/>
        <v>0</v>
      </c>
      <c r="T27" s="82">
        <f t="shared" si="6"/>
        <v>7.1278825995807136</v>
      </c>
      <c r="U27" s="82">
        <f t="shared" si="7"/>
        <v>4.8218029350104823</v>
      </c>
      <c r="V27" s="82">
        <f t="shared" si="8"/>
        <v>4.6645702306079668</v>
      </c>
      <c r="W27" s="82">
        <f t="shared" si="9"/>
        <v>83.385744234800839</v>
      </c>
      <c r="X27" s="27"/>
      <c r="Y27" s="82"/>
      <c r="Z27" s="25"/>
      <c r="AA27" s="82"/>
      <c r="AB27" s="90" t="s">
        <v>289</v>
      </c>
      <c r="AC27" s="90" t="s">
        <v>288</v>
      </c>
      <c r="AD27" s="5" t="s">
        <v>287</v>
      </c>
      <c r="AE27" s="24" t="s">
        <v>286</v>
      </c>
      <c r="AF27" s="28"/>
      <c r="AG27" s="29" t="s">
        <v>95</v>
      </c>
      <c r="AH27" s="4" t="str">
        <f t="shared" si="10"/>
        <v xml:space="preserve"> ,98</v>
      </c>
      <c r="AI27" s="30" t="s">
        <v>99</v>
      </c>
      <c r="AJ27" s="5">
        <v>4.1000000000000002E-2</v>
      </c>
      <c r="AK27" s="2" t="s">
        <v>502</v>
      </c>
      <c r="AL27" s="3" t="s">
        <v>703</v>
      </c>
      <c r="AM27" s="29" t="s">
        <v>96</v>
      </c>
      <c r="AN27" s="4" t="str">
        <f t="shared" si="11"/>
        <v xml:space="preserve"> ,98</v>
      </c>
      <c r="AO27" s="30" t="s">
        <v>99</v>
      </c>
      <c r="AP27" s="5">
        <v>9.5000000000000001E-2</v>
      </c>
      <c r="AQ27" s="40" t="s">
        <v>453</v>
      </c>
      <c r="AR27" s="3" t="s">
        <v>703</v>
      </c>
      <c r="AS27" s="29"/>
      <c r="AU27" s="30"/>
      <c r="AV27" s="5"/>
      <c r="AW27" s="2"/>
      <c r="AY27" s="29"/>
      <c r="BA27" s="30"/>
      <c r="BB27" s="5"/>
      <c r="BC27" s="2"/>
      <c r="BE27" s="29"/>
      <c r="BG27" s="30"/>
      <c r="BH27" s="5"/>
      <c r="BJ27" s="46"/>
      <c r="BK27" s="5"/>
    </row>
    <row r="28" spans="2:63" x14ac:dyDescent="0.25">
      <c r="B28" s="105"/>
      <c r="C28" s="35">
        <v>1</v>
      </c>
      <c r="D28" s="35">
        <v>24</v>
      </c>
      <c r="E28" s="35" t="s">
        <v>52</v>
      </c>
      <c r="F28" s="115" t="s">
        <v>387</v>
      </c>
      <c r="G28" s="36">
        <f t="shared" si="0"/>
        <v>2.4289999999999998</v>
      </c>
      <c r="H28" s="20" t="s">
        <v>433</v>
      </c>
      <c r="I28" s="6">
        <v>5</v>
      </c>
      <c r="J28" s="6">
        <v>9</v>
      </c>
      <c r="K28" s="21">
        <v>24</v>
      </c>
      <c r="L28" s="22">
        <f t="shared" si="3"/>
        <v>38</v>
      </c>
      <c r="M28" s="117">
        <v>0</v>
      </c>
      <c r="N28" s="76">
        <f>0.083+0.093+0.075+0.094+0.052</f>
        <v>0.39699999999999996</v>
      </c>
      <c r="O28" s="5">
        <v>0.154</v>
      </c>
      <c r="P28" s="5">
        <v>8.5999999999999993E-2</v>
      </c>
      <c r="Q28" s="90">
        <v>1.792</v>
      </c>
      <c r="R28" s="24"/>
      <c r="S28" s="25">
        <f t="shared" si="5"/>
        <v>0</v>
      </c>
      <c r="T28" s="82">
        <f t="shared" si="6"/>
        <v>16.344174557431039</v>
      </c>
      <c r="U28" s="82">
        <f t="shared" si="7"/>
        <v>6.3400576368876083</v>
      </c>
      <c r="V28" s="82">
        <f t="shared" si="8"/>
        <v>3.5405516673528203</v>
      </c>
      <c r="W28" s="82">
        <f t="shared" si="9"/>
        <v>73.775216138328531</v>
      </c>
      <c r="X28" s="27"/>
      <c r="Y28" s="82"/>
      <c r="Z28" s="25"/>
      <c r="AA28" s="82"/>
      <c r="AB28" s="90" t="s">
        <v>293</v>
      </c>
      <c r="AC28" s="90" t="s">
        <v>292</v>
      </c>
      <c r="AD28" s="5" t="s">
        <v>291</v>
      </c>
      <c r="AE28" s="24" t="s">
        <v>290</v>
      </c>
      <c r="AF28" s="28"/>
      <c r="AG28" s="29" t="s">
        <v>95</v>
      </c>
      <c r="AH28" s="2" t="str">
        <f t="shared" si="10"/>
        <v xml:space="preserve"> ,102</v>
      </c>
      <c r="AI28" s="30" t="s">
        <v>99</v>
      </c>
      <c r="AJ28" s="5">
        <v>8.3000000000000004E-2</v>
      </c>
      <c r="AK28" s="40" t="s">
        <v>502</v>
      </c>
      <c r="AL28" s="3" t="s">
        <v>703</v>
      </c>
      <c r="AM28" s="29" t="s">
        <v>96</v>
      </c>
      <c r="AN28" s="2" t="str">
        <f t="shared" si="11"/>
        <v xml:space="preserve"> ,102</v>
      </c>
      <c r="AO28" s="30" t="s">
        <v>99</v>
      </c>
      <c r="AP28" s="5">
        <v>9.2999999999999999E-2</v>
      </c>
      <c r="AQ28" s="40" t="s">
        <v>453</v>
      </c>
      <c r="AR28" s="3" t="s">
        <v>703</v>
      </c>
      <c r="AS28" s="29" t="s">
        <v>114</v>
      </c>
      <c r="AT28" s="2" t="str">
        <f>AH28</f>
        <v xml:space="preserve"> ,102</v>
      </c>
      <c r="AU28" s="30" t="s">
        <v>99</v>
      </c>
      <c r="AV28" s="5">
        <v>7.4999999999999997E-2</v>
      </c>
      <c r="AW28" s="2" t="s">
        <v>453</v>
      </c>
      <c r="AX28" s="5" t="s">
        <v>703</v>
      </c>
      <c r="AY28" s="29" t="s">
        <v>123</v>
      </c>
      <c r="AZ28" s="2" t="str">
        <f>AH28</f>
        <v xml:space="preserve"> ,102</v>
      </c>
      <c r="BA28" s="30" t="s">
        <v>99</v>
      </c>
      <c r="BB28" s="5">
        <v>9.4E-2</v>
      </c>
      <c r="BC28" s="2" t="s">
        <v>453</v>
      </c>
      <c r="BD28" s="3" t="s">
        <v>703</v>
      </c>
      <c r="BE28" s="29" t="s">
        <v>294</v>
      </c>
      <c r="BF28" s="2" t="str">
        <f>AN28</f>
        <v xml:space="preserve"> ,102</v>
      </c>
      <c r="BG28" s="30" t="s">
        <v>99</v>
      </c>
      <c r="BH28" s="5">
        <v>5.1999999999999998E-2</v>
      </c>
      <c r="BI28" s="2" t="s">
        <v>453</v>
      </c>
      <c r="BJ28" s="46" t="s">
        <v>703</v>
      </c>
      <c r="BK28" s="5"/>
    </row>
    <row r="29" spans="2:63" x14ac:dyDescent="0.25">
      <c r="B29" s="105">
        <v>44657</v>
      </c>
      <c r="C29" s="6">
        <v>1</v>
      </c>
      <c r="D29" s="35">
        <v>25</v>
      </c>
      <c r="E29" s="35" t="s">
        <v>53</v>
      </c>
      <c r="F29" s="113" t="s">
        <v>388</v>
      </c>
      <c r="G29" s="36">
        <f t="shared" si="0"/>
        <v>2.3820000000000001</v>
      </c>
      <c r="H29" s="20" t="s">
        <v>433</v>
      </c>
      <c r="I29" s="6">
        <v>2</v>
      </c>
      <c r="J29" s="6">
        <v>5</v>
      </c>
      <c r="K29" s="21">
        <v>18</v>
      </c>
      <c r="L29" s="22">
        <f t="shared" si="3"/>
        <v>25</v>
      </c>
      <c r="M29" s="117">
        <v>0</v>
      </c>
      <c r="N29" s="5">
        <f>0.046+0.399</f>
        <v>0.44500000000000001</v>
      </c>
      <c r="O29" s="5">
        <v>5.1999999999999998E-2</v>
      </c>
      <c r="P29" s="5">
        <v>5.6000000000000001E-2</v>
      </c>
      <c r="Q29" s="90">
        <v>1.829</v>
      </c>
      <c r="R29" s="24"/>
      <c r="S29" s="25">
        <f t="shared" si="5"/>
        <v>0</v>
      </c>
      <c r="T29" s="82">
        <f t="shared" si="6"/>
        <v>18.681780016792608</v>
      </c>
      <c r="U29" s="82">
        <f t="shared" si="7"/>
        <v>2.1830394626364398</v>
      </c>
      <c r="V29" s="82">
        <f t="shared" si="8"/>
        <v>2.3509655751469354</v>
      </c>
      <c r="W29" s="82">
        <f t="shared" si="9"/>
        <v>76.784214945424011</v>
      </c>
      <c r="X29" s="27"/>
      <c r="Y29" s="82"/>
      <c r="Z29" s="25"/>
      <c r="AA29" s="82"/>
      <c r="AB29" s="90" t="s">
        <v>298</v>
      </c>
      <c r="AC29" s="90" t="s">
        <v>297</v>
      </c>
      <c r="AD29" s="5" t="s">
        <v>296</v>
      </c>
      <c r="AE29" s="24" t="s">
        <v>295</v>
      </c>
      <c r="AF29" s="28"/>
      <c r="AG29" s="29" t="s">
        <v>95</v>
      </c>
      <c r="AH29" s="2" t="str">
        <f t="shared" si="10"/>
        <v xml:space="preserve"> ,106</v>
      </c>
      <c r="AI29" s="30" t="s">
        <v>99</v>
      </c>
      <c r="AJ29" s="5">
        <v>4.5999999999999999E-2</v>
      </c>
      <c r="AK29" s="2" t="s">
        <v>502</v>
      </c>
      <c r="AL29" s="3" t="s">
        <v>703</v>
      </c>
      <c r="AM29" s="29" t="s">
        <v>96</v>
      </c>
      <c r="AN29" s="2" t="str">
        <f t="shared" si="11"/>
        <v xml:space="preserve"> ,106</v>
      </c>
      <c r="AO29" s="30" t="s">
        <v>99</v>
      </c>
      <c r="AP29" s="5">
        <v>0.39900000000000002</v>
      </c>
      <c r="AQ29" s="40" t="s">
        <v>453</v>
      </c>
      <c r="AR29" s="3" t="s">
        <v>703</v>
      </c>
      <c r="AS29" s="29"/>
      <c r="AU29" s="30"/>
      <c r="AV29" s="5"/>
      <c r="AW29" s="2"/>
      <c r="AY29" s="29"/>
      <c r="BA29" s="30"/>
      <c r="BB29" s="5"/>
      <c r="BC29" s="2"/>
      <c r="BE29" s="29"/>
      <c r="BG29" s="30"/>
      <c r="BH29" s="5"/>
      <c r="BJ29" s="46"/>
      <c r="BK29" s="5"/>
    </row>
    <row r="30" spans="2:63" x14ac:dyDescent="0.25">
      <c r="B30" s="105"/>
      <c r="C30" s="35">
        <v>1</v>
      </c>
      <c r="D30" s="35">
        <v>26</v>
      </c>
      <c r="E30" s="35" t="s">
        <v>54</v>
      </c>
      <c r="F30" s="113" t="s">
        <v>389</v>
      </c>
      <c r="G30" s="36">
        <f t="shared" si="0"/>
        <v>2.0459999999999998</v>
      </c>
      <c r="H30" s="20" t="s">
        <v>433</v>
      </c>
      <c r="I30" s="6">
        <v>2</v>
      </c>
      <c r="J30" s="6">
        <v>10</v>
      </c>
      <c r="K30" s="21">
        <v>18</v>
      </c>
      <c r="L30" s="22">
        <f t="shared" si="3"/>
        <v>30</v>
      </c>
      <c r="M30" s="117">
        <v>0</v>
      </c>
      <c r="N30" s="5">
        <f>0.099+0.053</f>
        <v>0.152</v>
      </c>
      <c r="O30" s="5">
        <v>0.124</v>
      </c>
      <c r="P30" s="5">
        <v>4.8000000000000001E-2</v>
      </c>
      <c r="Q30" s="90">
        <v>1.722</v>
      </c>
      <c r="R30" s="24"/>
      <c r="S30" s="25">
        <f t="shared" si="5"/>
        <v>0</v>
      </c>
      <c r="T30" s="82">
        <f t="shared" si="6"/>
        <v>7.4291300097751716</v>
      </c>
      <c r="U30" s="82">
        <f t="shared" si="7"/>
        <v>6.0606060606060606</v>
      </c>
      <c r="V30" s="82">
        <f t="shared" si="8"/>
        <v>2.3460410557184752</v>
      </c>
      <c r="W30" s="82">
        <f t="shared" si="9"/>
        <v>84.1642228739003</v>
      </c>
      <c r="X30" s="27"/>
      <c r="Y30" s="82"/>
      <c r="Z30" s="25"/>
      <c r="AA30" s="82"/>
      <c r="AB30" s="90" t="s">
        <v>301</v>
      </c>
      <c r="AC30" s="90" t="s">
        <v>141</v>
      </c>
      <c r="AD30" s="5" t="s">
        <v>300</v>
      </c>
      <c r="AE30" s="24" t="s">
        <v>299</v>
      </c>
      <c r="AF30" s="28"/>
      <c r="AG30" s="29" t="s">
        <v>95</v>
      </c>
      <c r="AH30" s="2" t="str">
        <f t="shared" si="10"/>
        <v xml:space="preserve"> ,110</v>
      </c>
      <c r="AI30" s="30" t="s">
        <v>99</v>
      </c>
      <c r="AJ30" s="5">
        <v>9.9000000000000005E-2</v>
      </c>
      <c r="AK30" s="2" t="s">
        <v>502</v>
      </c>
      <c r="AL30" s="3" t="s">
        <v>703</v>
      </c>
      <c r="AM30" s="29" t="s">
        <v>96</v>
      </c>
      <c r="AN30" s="2" t="str">
        <f t="shared" si="11"/>
        <v xml:space="preserve"> ,110</v>
      </c>
      <c r="AO30" s="30" t="s">
        <v>99</v>
      </c>
      <c r="AP30" s="5">
        <v>5.2999999999999999E-2</v>
      </c>
      <c r="AQ30" s="40" t="s">
        <v>453</v>
      </c>
      <c r="AR30" s="3" t="s">
        <v>703</v>
      </c>
      <c r="AS30" s="29"/>
      <c r="AU30" s="30"/>
      <c r="AV30" s="5"/>
      <c r="AW30" s="2"/>
      <c r="AY30" s="29"/>
      <c r="BA30" s="30"/>
      <c r="BB30" s="5"/>
      <c r="BC30" s="2"/>
      <c r="BE30" s="29"/>
      <c r="BG30" s="30"/>
      <c r="BH30" s="5"/>
      <c r="BJ30" s="46"/>
      <c r="BK30" s="5"/>
    </row>
    <row r="31" spans="2:63" x14ac:dyDescent="0.25">
      <c r="B31" s="105"/>
      <c r="C31" s="35">
        <v>1</v>
      </c>
      <c r="D31" s="35">
        <v>27</v>
      </c>
      <c r="E31" s="35" t="s">
        <v>55</v>
      </c>
      <c r="F31" s="113" t="s">
        <v>390</v>
      </c>
      <c r="G31" s="36">
        <f t="shared" si="0"/>
        <v>1.9470000000000001</v>
      </c>
      <c r="H31" s="20" t="s">
        <v>433</v>
      </c>
      <c r="I31" s="6">
        <v>3</v>
      </c>
      <c r="J31" s="6">
        <v>9</v>
      </c>
      <c r="K31" s="21">
        <v>23</v>
      </c>
      <c r="L31" s="22">
        <f t="shared" si="3"/>
        <v>35</v>
      </c>
      <c r="M31" s="117">
        <v>0</v>
      </c>
      <c r="N31" s="5">
        <f>0.076+0.032+0.046</f>
        <v>0.154</v>
      </c>
      <c r="O31" s="5">
        <v>0.106</v>
      </c>
      <c r="P31" s="5">
        <v>8.4000000000000005E-2</v>
      </c>
      <c r="Q31" s="90">
        <v>1.603</v>
      </c>
      <c r="R31" s="24"/>
      <c r="S31" s="25">
        <f t="shared" si="5"/>
        <v>0</v>
      </c>
      <c r="T31" s="82">
        <f t="shared" si="6"/>
        <v>7.9096045197740104</v>
      </c>
      <c r="U31" s="82">
        <f t="shared" si="7"/>
        <v>5.44427324088341</v>
      </c>
      <c r="V31" s="82">
        <f t="shared" si="8"/>
        <v>4.3143297380585519</v>
      </c>
      <c r="W31" s="82">
        <f t="shared" si="9"/>
        <v>82.331792501284013</v>
      </c>
      <c r="X31" s="27"/>
      <c r="Y31" s="82"/>
      <c r="Z31" s="25"/>
      <c r="AA31" s="82"/>
      <c r="AB31" s="90" t="s">
        <v>305</v>
      </c>
      <c r="AC31" s="90" t="s">
        <v>304</v>
      </c>
      <c r="AD31" s="5" t="s">
        <v>303</v>
      </c>
      <c r="AE31" s="24" t="s">
        <v>302</v>
      </c>
      <c r="AF31" s="28"/>
      <c r="AG31" s="29" t="s">
        <v>95</v>
      </c>
      <c r="AH31" s="2" t="str">
        <f t="shared" si="10"/>
        <v xml:space="preserve"> ,114</v>
      </c>
      <c r="AI31" s="30" t="s">
        <v>99</v>
      </c>
      <c r="AJ31" s="5">
        <v>7.5999999999999998E-2</v>
      </c>
      <c r="AK31" s="2" t="s">
        <v>502</v>
      </c>
      <c r="AL31" s="3" t="s">
        <v>703</v>
      </c>
      <c r="AM31" s="29" t="s">
        <v>96</v>
      </c>
      <c r="AN31" s="2" t="str">
        <f t="shared" si="11"/>
        <v xml:space="preserve"> ,114</v>
      </c>
      <c r="AO31" s="30" t="s">
        <v>99</v>
      </c>
      <c r="AP31" s="5">
        <v>3.2000000000000001E-2</v>
      </c>
      <c r="AQ31" s="40" t="s">
        <v>453</v>
      </c>
      <c r="AR31" s="3" t="s">
        <v>703</v>
      </c>
      <c r="AS31" s="29" t="s">
        <v>114</v>
      </c>
      <c r="AT31" s="2" t="str">
        <f>AH31</f>
        <v xml:space="preserve"> ,114</v>
      </c>
      <c r="AU31" s="30" t="s">
        <v>99</v>
      </c>
      <c r="AV31" s="5">
        <v>4.5999999999999999E-2</v>
      </c>
      <c r="AW31" s="2" t="s">
        <v>453</v>
      </c>
      <c r="AX31" s="5" t="s">
        <v>703</v>
      </c>
      <c r="AY31" s="29"/>
      <c r="BA31" s="30"/>
      <c r="BB31" s="5"/>
      <c r="BC31" s="2"/>
      <c r="BE31" s="29"/>
      <c r="BG31" s="30"/>
      <c r="BH31" s="5"/>
      <c r="BJ31" s="46"/>
      <c r="BK31" s="5"/>
    </row>
    <row r="32" spans="2:63" x14ac:dyDescent="0.25">
      <c r="B32" s="105"/>
      <c r="C32" s="35">
        <v>1</v>
      </c>
      <c r="D32" s="6">
        <v>28</v>
      </c>
      <c r="E32" s="6" t="s">
        <v>56</v>
      </c>
      <c r="F32" s="113" t="s">
        <v>391</v>
      </c>
      <c r="G32" s="36">
        <f t="shared" si="0"/>
        <v>1.867</v>
      </c>
      <c r="H32" s="20" t="s">
        <v>433</v>
      </c>
      <c r="I32" s="6" t="s">
        <v>433</v>
      </c>
      <c r="J32" s="6">
        <v>6</v>
      </c>
      <c r="K32" s="21">
        <v>21</v>
      </c>
      <c r="L32" s="22">
        <f t="shared" si="3"/>
        <v>27</v>
      </c>
      <c r="M32" s="117">
        <v>0</v>
      </c>
      <c r="N32" s="118">
        <v>0</v>
      </c>
      <c r="O32" s="5">
        <v>9.9000000000000005E-2</v>
      </c>
      <c r="P32" s="5">
        <v>7.1999999999999995E-2</v>
      </c>
      <c r="Q32" s="90">
        <v>1.696</v>
      </c>
      <c r="R32" s="24"/>
      <c r="S32" s="25">
        <f t="shared" si="5"/>
        <v>0</v>
      </c>
      <c r="T32" s="82">
        <f t="shared" si="6"/>
        <v>0</v>
      </c>
      <c r="U32" s="82">
        <f t="shared" si="7"/>
        <v>5.3026245313336906</v>
      </c>
      <c r="V32" s="82">
        <f t="shared" si="8"/>
        <v>3.8564542046063202</v>
      </c>
      <c r="W32" s="82">
        <f t="shared" si="9"/>
        <v>90.840921264059986</v>
      </c>
      <c r="X32" s="27"/>
      <c r="Y32" s="82"/>
      <c r="Z32" s="25"/>
      <c r="AA32" s="82"/>
      <c r="AB32" s="90"/>
      <c r="AC32" s="90" t="s">
        <v>308</v>
      </c>
      <c r="AD32" s="5" t="s">
        <v>307</v>
      </c>
      <c r="AE32" s="24" t="s">
        <v>306</v>
      </c>
      <c r="AF32" s="28"/>
      <c r="AG32" s="29"/>
      <c r="AI32" s="30"/>
      <c r="AJ32" s="5"/>
      <c r="AM32" s="29"/>
      <c r="AO32" s="30"/>
      <c r="AP32" s="5"/>
      <c r="AQ32" s="2"/>
      <c r="AS32" s="29"/>
      <c r="AU32" s="30"/>
      <c r="AV32" s="5"/>
      <c r="AW32" s="2"/>
      <c r="AY32" s="29"/>
      <c r="BA32" s="30"/>
      <c r="BB32" s="5"/>
      <c r="BC32" s="2"/>
      <c r="BE32" s="29"/>
      <c r="BG32" s="30"/>
      <c r="BH32" s="5"/>
      <c r="BJ32" s="46"/>
      <c r="BK32" s="5"/>
    </row>
    <row r="33" spans="2:63" x14ac:dyDescent="0.25">
      <c r="B33" s="105">
        <v>44658</v>
      </c>
      <c r="C33" s="6">
        <v>1</v>
      </c>
      <c r="D33" s="35">
        <v>29</v>
      </c>
      <c r="E33" s="35" t="s">
        <v>57</v>
      </c>
      <c r="F33" s="113" t="s">
        <v>392</v>
      </c>
      <c r="G33" s="36">
        <f t="shared" si="0"/>
        <v>2.1579999999999999</v>
      </c>
      <c r="H33" s="20" t="s">
        <v>433</v>
      </c>
      <c r="I33" s="6">
        <v>4</v>
      </c>
      <c r="J33" s="6">
        <v>6</v>
      </c>
      <c r="K33" s="21">
        <v>26</v>
      </c>
      <c r="L33" s="22">
        <f t="shared" si="3"/>
        <v>36</v>
      </c>
      <c r="M33" s="117">
        <v>0</v>
      </c>
      <c r="N33" s="5">
        <f>0.129+0.051+0.049+0.029</f>
        <v>0.25800000000000001</v>
      </c>
      <c r="O33" s="5">
        <v>6.4000000000000001E-2</v>
      </c>
      <c r="P33" s="5">
        <v>7.5999999999999998E-2</v>
      </c>
      <c r="Q33" s="90">
        <v>1.76</v>
      </c>
      <c r="R33" s="24"/>
      <c r="S33" s="25">
        <f t="shared" si="5"/>
        <v>0</v>
      </c>
      <c r="T33" s="82">
        <f t="shared" si="6"/>
        <v>11.95551436515292</v>
      </c>
      <c r="U33" s="82">
        <f t="shared" si="7"/>
        <v>2.9657089898053752</v>
      </c>
      <c r="V33" s="82">
        <f t="shared" si="8"/>
        <v>3.5217794253938832</v>
      </c>
      <c r="W33" s="82">
        <f t="shared" si="9"/>
        <v>81.556997219647826</v>
      </c>
      <c r="X33" s="27"/>
      <c r="Y33" s="82"/>
      <c r="Z33" s="25"/>
      <c r="AA33" s="82"/>
      <c r="AB33" s="90" t="s">
        <v>312</v>
      </c>
      <c r="AC33" s="90" t="s">
        <v>311</v>
      </c>
      <c r="AD33" s="5" t="s">
        <v>310</v>
      </c>
      <c r="AE33" s="24" t="s">
        <v>309</v>
      </c>
      <c r="AF33" s="28"/>
      <c r="AG33" s="29" t="s">
        <v>95</v>
      </c>
      <c r="AH33" s="4" t="str">
        <f>AB33</f>
        <v xml:space="preserve"> ,121</v>
      </c>
      <c r="AI33" s="30" t="s">
        <v>99</v>
      </c>
      <c r="AJ33" s="5">
        <v>0.129</v>
      </c>
      <c r="AK33" s="2" t="s">
        <v>502</v>
      </c>
      <c r="AL33" s="3" t="s">
        <v>703</v>
      </c>
      <c r="AM33" s="29" t="s">
        <v>96</v>
      </c>
      <c r="AN33" s="4" t="str">
        <f>AB33</f>
        <v xml:space="preserve"> ,121</v>
      </c>
      <c r="AO33" s="30" t="s">
        <v>99</v>
      </c>
      <c r="AP33" s="5">
        <v>5.0999999999999997E-2</v>
      </c>
      <c r="AQ33" s="2" t="s">
        <v>453</v>
      </c>
      <c r="AR33" s="3" t="s">
        <v>703</v>
      </c>
      <c r="AS33" s="29" t="s">
        <v>114</v>
      </c>
      <c r="AT33" s="4" t="str">
        <f>AB33</f>
        <v xml:space="preserve"> ,121</v>
      </c>
      <c r="AU33" s="30" t="s">
        <v>99</v>
      </c>
      <c r="AV33" s="5">
        <v>4.9000000000000002E-2</v>
      </c>
      <c r="AW33" s="2" t="s">
        <v>453</v>
      </c>
      <c r="AX33" s="5" t="s">
        <v>703</v>
      </c>
      <c r="AY33" s="29" t="s">
        <v>123</v>
      </c>
      <c r="AZ33" s="4" t="str">
        <f>AB33</f>
        <v xml:space="preserve"> ,121</v>
      </c>
      <c r="BA33" s="30" t="s">
        <v>99</v>
      </c>
      <c r="BB33" s="5">
        <v>2.9000000000000001E-2</v>
      </c>
      <c r="BC33" s="2" t="s">
        <v>453</v>
      </c>
      <c r="BD33" s="3" t="s">
        <v>703</v>
      </c>
      <c r="BE33" s="29"/>
      <c r="BG33" s="30"/>
      <c r="BH33" s="5"/>
      <c r="BJ33" s="46"/>
      <c r="BK33" s="5"/>
    </row>
    <row r="34" spans="2:63" x14ac:dyDescent="0.25">
      <c r="B34" s="105"/>
      <c r="C34" s="35">
        <v>1</v>
      </c>
      <c r="D34" s="35">
        <v>30</v>
      </c>
      <c r="E34" s="35" t="s">
        <v>58</v>
      </c>
      <c r="F34" s="113" t="s">
        <v>393</v>
      </c>
      <c r="G34" s="36">
        <f t="shared" si="0"/>
        <v>2.7880000000000003</v>
      </c>
      <c r="H34" s="20" t="s">
        <v>433</v>
      </c>
      <c r="I34" s="6">
        <v>3</v>
      </c>
      <c r="J34" s="6">
        <v>13</v>
      </c>
      <c r="K34" s="21">
        <v>33</v>
      </c>
      <c r="L34" s="22">
        <f t="shared" si="3"/>
        <v>49</v>
      </c>
      <c r="M34" s="117">
        <v>0</v>
      </c>
      <c r="N34" s="5">
        <f>0.057+0.026+0.094</f>
        <v>0.17699999999999999</v>
      </c>
      <c r="O34" s="5">
        <v>0.14699999999999999</v>
      </c>
      <c r="P34" s="5">
        <v>0.107</v>
      </c>
      <c r="Q34" s="90">
        <v>2.3570000000000002</v>
      </c>
      <c r="R34" s="24"/>
      <c r="S34" s="25">
        <f t="shared" si="5"/>
        <v>0</v>
      </c>
      <c r="T34" s="82">
        <f t="shared" si="6"/>
        <v>6.3486370157819216</v>
      </c>
      <c r="U34" s="82">
        <f t="shared" si="7"/>
        <v>5.272596843615494</v>
      </c>
      <c r="V34" s="82">
        <f t="shared" si="8"/>
        <v>3.8378766140602578</v>
      </c>
      <c r="W34" s="82">
        <f t="shared" si="9"/>
        <v>84.54088952654233</v>
      </c>
      <c r="X34" s="27"/>
      <c r="Y34" s="82"/>
      <c r="Z34" s="25"/>
      <c r="AA34" s="82"/>
      <c r="AB34" s="90" t="s">
        <v>316</v>
      </c>
      <c r="AC34" s="90" t="s">
        <v>315</v>
      </c>
      <c r="AD34" s="5" t="s">
        <v>314</v>
      </c>
      <c r="AE34" s="24" t="s">
        <v>313</v>
      </c>
      <c r="AF34" s="28"/>
      <c r="AG34" s="29" t="s">
        <v>95</v>
      </c>
      <c r="AH34" s="2" t="str">
        <f>AB34</f>
        <v xml:space="preserve"> ,125</v>
      </c>
      <c r="AI34" s="30" t="s">
        <v>99</v>
      </c>
      <c r="AJ34" s="5">
        <v>5.7000000000000002E-2</v>
      </c>
      <c r="AK34" s="2" t="s">
        <v>502</v>
      </c>
      <c r="AL34" s="3" t="s">
        <v>703</v>
      </c>
      <c r="AM34" s="29" t="s">
        <v>96</v>
      </c>
      <c r="AN34" s="2" t="str">
        <f>AH34</f>
        <v xml:space="preserve"> ,125</v>
      </c>
      <c r="AO34" s="30" t="s">
        <v>99</v>
      </c>
      <c r="AP34" s="5">
        <v>2.5999999999999999E-2</v>
      </c>
      <c r="AQ34" s="2" t="s">
        <v>453</v>
      </c>
      <c r="AR34" s="3" t="s">
        <v>703</v>
      </c>
      <c r="AS34" s="29" t="s">
        <v>114</v>
      </c>
      <c r="AT34" s="2" t="str">
        <f>AH34</f>
        <v xml:space="preserve"> ,125</v>
      </c>
      <c r="AU34" s="30" t="s">
        <v>99</v>
      </c>
      <c r="AV34" s="5">
        <v>9.4E-2</v>
      </c>
      <c r="AW34" s="2" t="s">
        <v>453</v>
      </c>
      <c r="AX34" s="5" t="s">
        <v>703</v>
      </c>
      <c r="AY34" s="29"/>
      <c r="BA34" s="30"/>
      <c r="BB34" s="5"/>
      <c r="BC34" s="2"/>
      <c r="BE34" s="29"/>
      <c r="BG34" s="30"/>
      <c r="BH34" s="5"/>
      <c r="BJ34" s="46"/>
      <c r="BK34" s="5"/>
    </row>
    <row r="35" spans="2:63" x14ac:dyDescent="0.25">
      <c r="B35" s="105"/>
      <c r="C35" s="35">
        <v>1</v>
      </c>
      <c r="D35" s="35">
        <v>31</v>
      </c>
      <c r="E35" s="35" t="s">
        <v>59</v>
      </c>
      <c r="F35" s="115" t="s">
        <v>394</v>
      </c>
      <c r="G35" s="36">
        <f t="shared" si="0"/>
        <v>2.5419999999999985</v>
      </c>
      <c r="H35" s="20" t="s">
        <v>433</v>
      </c>
      <c r="I35" s="6">
        <v>3</v>
      </c>
      <c r="J35" s="6">
        <v>11</v>
      </c>
      <c r="K35" s="21">
        <v>19</v>
      </c>
      <c r="L35" s="22">
        <f t="shared" si="3"/>
        <v>33</v>
      </c>
      <c r="M35" s="117">
        <v>0</v>
      </c>
      <c r="N35" s="5">
        <f>0.074+0.405+0.028</f>
        <v>0.50700000000000001</v>
      </c>
      <c r="O35" s="5">
        <v>0.11799999999999999</v>
      </c>
      <c r="P35" s="5">
        <v>5.5E-2</v>
      </c>
      <c r="Q35" s="90">
        <f>18.051-16.189</f>
        <v>1.8619999999999983</v>
      </c>
      <c r="R35" s="24"/>
      <c r="S35" s="25">
        <f t="shared" si="5"/>
        <v>0</v>
      </c>
      <c r="T35" s="82">
        <f t="shared" si="6"/>
        <v>19.944925255704181</v>
      </c>
      <c r="U35" s="82">
        <f t="shared" si="7"/>
        <v>4.6420141620771069</v>
      </c>
      <c r="V35" s="82">
        <f t="shared" si="8"/>
        <v>2.1636506687647534</v>
      </c>
      <c r="W35" s="82">
        <f t="shared" si="9"/>
        <v>73.24940991345396</v>
      </c>
      <c r="X35" s="27"/>
      <c r="Y35" s="82"/>
      <c r="Z35" s="25"/>
      <c r="AA35" s="82"/>
      <c r="AB35" s="90" t="s">
        <v>320</v>
      </c>
      <c r="AC35" s="90" t="s">
        <v>319</v>
      </c>
      <c r="AD35" s="5" t="s">
        <v>318</v>
      </c>
      <c r="AE35" s="24" t="s">
        <v>317</v>
      </c>
      <c r="AF35" s="53"/>
      <c r="AG35" s="29" t="s">
        <v>95</v>
      </c>
      <c r="AH35" s="2" t="str">
        <f>AB35</f>
        <v xml:space="preserve"> ,129</v>
      </c>
      <c r="AI35" s="30" t="s">
        <v>99</v>
      </c>
      <c r="AJ35" s="5">
        <v>7.3999999999999996E-2</v>
      </c>
      <c r="AK35" s="2" t="s">
        <v>502</v>
      </c>
      <c r="AL35" s="3" t="s">
        <v>703</v>
      </c>
      <c r="AM35" s="29" t="s">
        <v>96</v>
      </c>
      <c r="AN35" s="2" t="str">
        <f>AH35</f>
        <v xml:space="preserve"> ,129</v>
      </c>
      <c r="AO35" s="30" t="s">
        <v>99</v>
      </c>
      <c r="AP35" s="5">
        <v>0.40500000000000003</v>
      </c>
      <c r="AQ35" s="2" t="s">
        <v>453</v>
      </c>
      <c r="AR35" s="31" t="s">
        <v>703</v>
      </c>
      <c r="AS35" s="29" t="s">
        <v>114</v>
      </c>
      <c r="AT35" s="2" t="str">
        <f>AH35</f>
        <v xml:space="preserve"> ,129</v>
      </c>
      <c r="AU35" s="30" t="s">
        <v>99</v>
      </c>
      <c r="AV35" s="5">
        <v>2.8000000000000001E-2</v>
      </c>
      <c r="AW35" s="2" t="s">
        <v>453</v>
      </c>
      <c r="AX35" s="6" t="s">
        <v>703</v>
      </c>
      <c r="AY35" s="29"/>
      <c r="BA35" s="30"/>
      <c r="BB35" s="5"/>
      <c r="BC35" s="2"/>
      <c r="BD35" s="31"/>
      <c r="BE35" s="29"/>
      <c r="BG35" s="30"/>
      <c r="BH35" s="5"/>
      <c r="BJ35" s="37"/>
      <c r="BK35" s="5"/>
    </row>
    <row r="36" spans="2:63" x14ac:dyDescent="0.25">
      <c r="B36" s="105">
        <v>44662</v>
      </c>
      <c r="C36" s="35">
        <v>1</v>
      </c>
      <c r="D36" s="35">
        <v>32</v>
      </c>
      <c r="E36" s="35" t="s">
        <v>60</v>
      </c>
      <c r="F36" s="113" t="s">
        <v>395</v>
      </c>
      <c r="G36" s="36">
        <f t="shared" si="0"/>
        <v>1.196</v>
      </c>
      <c r="H36" s="20" t="s">
        <v>433</v>
      </c>
      <c r="I36" s="6">
        <v>1</v>
      </c>
      <c r="J36" s="6">
        <v>7</v>
      </c>
      <c r="K36" s="21">
        <v>9</v>
      </c>
      <c r="L36" s="22">
        <f t="shared" si="3"/>
        <v>17</v>
      </c>
      <c r="M36" s="117">
        <v>0</v>
      </c>
      <c r="N36" s="5">
        <v>4.9000000000000002E-2</v>
      </c>
      <c r="O36" s="5">
        <v>0.06</v>
      </c>
      <c r="P36" s="5">
        <v>0.03</v>
      </c>
      <c r="Q36" s="90">
        <v>1.0569999999999999</v>
      </c>
      <c r="R36" s="24"/>
      <c r="S36" s="25">
        <f t="shared" si="5"/>
        <v>0</v>
      </c>
      <c r="T36" s="82">
        <f t="shared" si="6"/>
        <v>4.0969899665551841</v>
      </c>
      <c r="U36" s="82">
        <f t="shared" si="7"/>
        <v>5.0167224080267561</v>
      </c>
      <c r="V36" s="82">
        <f t="shared" si="8"/>
        <v>2.508361204013378</v>
      </c>
      <c r="W36" s="82">
        <f t="shared" si="9"/>
        <v>88.37792642140468</v>
      </c>
      <c r="X36" s="27"/>
      <c r="Y36" s="82"/>
      <c r="Z36" s="25"/>
      <c r="AA36" s="82"/>
      <c r="AB36" s="90" t="s">
        <v>324</v>
      </c>
      <c r="AC36" s="90" t="s">
        <v>323</v>
      </c>
      <c r="AD36" s="5" t="s">
        <v>322</v>
      </c>
      <c r="AE36" s="24" t="s">
        <v>321</v>
      </c>
      <c r="AF36" s="28"/>
      <c r="AG36" s="29" t="s">
        <v>95</v>
      </c>
      <c r="AH36" s="2" t="str">
        <f>AB36</f>
        <v xml:space="preserve"> ,133</v>
      </c>
      <c r="AI36" s="30" t="s">
        <v>99</v>
      </c>
      <c r="AJ36" s="5">
        <v>4.9000000000000002E-2</v>
      </c>
      <c r="AK36" s="2" t="s">
        <v>502</v>
      </c>
      <c r="AL36" s="3" t="s">
        <v>703</v>
      </c>
      <c r="AM36" s="29"/>
      <c r="AO36" s="30"/>
      <c r="AP36" s="5"/>
      <c r="AQ36" s="2"/>
      <c r="AS36" s="29"/>
      <c r="AU36" s="30"/>
      <c r="AV36" s="5"/>
      <c r="AW36" s="2"/>
      <c r="AY36" s="29"/>
      <c r="BA36" s="30"/>
      <c r="BB36" s="5"/>
      <c r="BC36" s="2"/>
      <c r="BE36" s="29"/>
      <c r="BG36" s="30"/>
      <c r="BH36" s="5"/>
      <c r="BJ36" s="46"/>
      <c r="BK36" s="5"/>
    </row>
    <row r="37" spans="2:63" x14ac:dyDescent="0.25">
      <c r="B37" s="105"/>
      <c r="C37" s="6">
        <v>1</v>
      </c>
      <c r="D37" s="35">
        <v>33</v>
      </c>
      <c r="E37" s="35" t="s">
        <v>61</v>
      </c>
      <c r="F37" s="113" t="s">
        <v>396</v>
      </c>
      <c r="G37" s="36">
        <f t="shared" ref="G37:G58" si="12">SUM(M37:Q37)</f>
        <v>1.3459999999999999</v>
      </c>
      <c r="H37" s="20" t="s">
        <v>433</v>
      </c>
      <c r="I37" s="6" t="s">
        <v>433</v>
      </c>
      <c r="J37" s="6">
        <v>7</v>
      </c>
      <c r="K37" s="21">
        <v>15</v>
      </c>
      <c r="L37" s="22">
        <f t="shared" si="3"/>
        <v>22</v>
      </c>
      <c r="M37" s="117">
        <v>0</v>
      </c>
      <c r="N37" s="118">
        <v>0</v>
      </c>
      <c r="O37" s="5">
        <v>8.7999999999999995E-2</v>
      </c>
      <c r="P37" s="5">
        <v>5.3999999999999999E-2</v>
      </c>
      <c r="Q37" s="90">
        <v>1.204</v>
      </c>
      <c r="R37" s="24"/>
      <c r="S37" s="25">
        <f t="shared" si="5"/>
        <v>0</v>
      </c>
      <c r="T37" s="82">
        <f t="shared" si="6"/>
        <v>0</v>
      </c>
      <c r="U37" s="82">
        <f t="shared" si="7"/>
        <v>6.5378900445765238</v>
      </c>
      <c r="V37" s="82">
        <f t="shared" si="8"/>
        <v>4.0118870728083209</v>
      </c>
      <c r="W37" s="82">
        <f t="shared" si="9"/>
        <v>89.450222882615165</v>
      </c>
      <c r="X37" s="27"/>
      <c r="Y37" s="82"/>
      <c r="Z37" s="25"/>
      <c r="AA37" s="82"/>
      <c r="AB37" s="90"/>
      <c r="AC37" s="90" t="s">
        <v>327</v>
      </c>
      <c r="AD37" s="5" t="s">
        <v>326</v>
      </c>
      <c r="AE37" s="24" t="s">
        <v>325</v>
      </c>
      <c r="AF37" s="28"/>
      <c r="AG37" s="29"/>
      <c r="AI37" s="30"/>
      <c r="AJ37" s="5"/>
      <c r="AM37" s="29"/>
      <c r="AO37" s="30"/>
      <c r="AP37" s="5"/>
      <c r="AQ37" s="2"/>
      <c r="AS37" s="29"/>
      <c r="AU37" s="30"/>
      <c r="AV37" s="5"/>
      <c r="AW37" s="2"/>
      <c r="AY37" s="29"/>
      <c r="BA37" s="30"/>
      <c r="BB37" s="5"/>
      <c r="BC37" s="2"/>
      <c r="BE37" s="29"/>
      <c r="BG37" s="30"/>
      <c r="BH37" s="5"/>
      <c r="BJ37" s="46"/>
      <c r="BK37" s="5"/>
    </row>
    <row r="38" spans="2:63" x14ac:dyDescent="0.25">
      <c r="B38" s="105"/>
      <c r="C38" s="35">
        <v>1</v>
      </c>
      <c r="D38" s="35">
        <v>34</v>
      </c>
      <c r="E38" s="35" t="s">
        <v>62</v>
      </c>
      <c r="F38" s="113" t="s">
        <v>397</v>
      </c>
      <c r="G38" s="36">
        <f t="shared" si="12"/>
        <v>5.375</v>
      </c>
      <c r="H38" s="54">
        <v>1</v>
      </c>
      <c r="I38" s="6">
        <v>1</v>
      </c>
      <c r="J38" s="6">
        <v>3</v>
      </c>
      <c r="K38" s="21">
        <v>13</v>
      </c>
      <c r="L38" s="22">
        <f t="shared" si="3"/>
        <v>18</v>
      </c>
      <c r="M38" s="23">
        <v>3.6240000000000001</v>
      </c>
      <c r="N38" s="5">
        <v>0.22900000000000001</v>
      </c>
      <c r="O38" s="5">
        <v>2.7E-2</v>
      </c>
      <c r="P38" s="5">
        <v>4.2000000000000003E-2</v>
      </c>
      <c r="Q38" s="90">
        <v>1.4530000000000001</v>
      </c>
      <c r="R38" s="24"/>
      <c r="S38" s="25">
        <f t="shared" si="5"/>
        <v>67.423255813953489</v>
      </c>
      <c r="T38" s="82">
        <f t="shared" si="6"/>
        <v>4.2604651162790699</v>
      </c>
      <c r="U38" s="82">
        <f t="shared" si="7"/>
        <v>0.50232558139534889</v>
      </c>
      <c r="V38" s="82">
        <f t="shared" si="8"/>
        <v>0.78139534883720929</v>
      </c>
      <c r="W38" s="82">
        <f t="shared" si="9"/>
        <v>27.032558139534885</v>
      </c>
      <c r="X38" s="27"/>
      <c r="Y38" s="82"/>
      <c r="Z38" s="25"/>
      <c r="AA38" s="82" t="s">
        <v>332</v>
      </c>
      <c r="AB38" s="90" t="s">
        <v>331</v>
      </c>
      <c r="AC38" s="90" t="s">
        <v>330</v>
      </c>
      <c r="AD38" s="5" t="s">
        <v>329</v>
      </c>
      <c r="AE38" s="24" t="s">
        <v>328</v>
      </c>
      <c r="AF38" s="28"/>
      <c r="AG38" s="29"/>
      <c r="AH38" s="4" t="str">
        <f>AA38</f>
        <v xml:space="preserve"> ,141</v>
      </c>
      <c r="AI38" s="72" t="s">
        <v>112</v>
      </c>
      <c r="AJ38" s="5">
        <v>3.6240000000000001</v>
      </c>
      <c r="AK38" s="2" t="s">
        <v>502</v>
      </c>
      <c r="AL38" s="3" t="s">
        <v>703</v>
      </c>
      <c r="AM38" s="29" t="s">
        <v>95</v>
      </c>
      <c r="AN38" s="4" t="str">
        <f>AB38</f>
        <v xml:space="preserve"> ,140</v>
      </c>
      <c r="AO38" s="30" t="s">
        <v>99</v>
      </c>
      <c r="AP38" s="5">
        <v>0.22900000000000001</v>
      </c>
      <c r="AQ38" s="2" t="s">
        <v>453</v>
      </c>
      <c r="AR38" s="3" t="s">
        <v>703</v>
      </c>
      <c r="AS38" s="29"/>
      <c r="AU38" s="30"/>
      <c r="AV38" s="5"/>
      <c r="AW38" s="2"/>
      <c r="AY38" s="29"/>
      <c r="BA38" s="30"/>
      <c r="BB38" s="5"/>
      <c r="BC38" s="2"/>
      <c r="BE38" s="29"/>
      <c r="BG38" s="30"/>
      <c r="BH38" s="5"/>
      <c r="BJ38" s="46"/>
      <c r="BK38" s="5"/>
    </row>
    <row r="39" spans="2:63" x14ac:dyDescent="0.25">
      <c r="B39" s="105"/>
      <c r="C39" s="35">
        <v>1</v>
      </c>
      <c r="D39" s="6">
        <v>35</v>
      </c>
      <c r="E39" s="35" t="s">
        <v>63</v>
      </c>
      <c r="F39" s="113" t="s">
        <v>398</v>
      </c>
      <c r="G39" s="36">
        <f t="shared" si="12"/>
        <v>1.97</v>
      </c>
      <c r="H39" s="54" t="s">
        <v>433</v>
      </c>
      <c r="I39" s="6">
        <v>4</v>
      </c>
      <c r="J39" s="6">
        <v>5</v>
      </c>
      <c r="K39" s="21">
        <v>24</v>
      </c>
      <c r="L39" s="22">
        <f t="shared" si="3"/>
        <v>33</v>
      </c>
      <c r="M39" s="117">
        <v>0</v>
      </c>
      <c r="N39" s="5">
        <f>0.069+0.107+0.032+0.054</f>
        <v>0.26200000000000001</v>
      </c>
      <c r="O39" s="5">
        <v>0.09</v>
      </c>
      <c r="P39" s="5">
        <v>7.1999999999999995E-2</v>
      </c>
      <c r="Q39" s="90">
        <v>1.546</v>
      </c>
      <c r="R39" s="24"/>
      <c r="S39" s="25">
        <f t="shared" ref="S39:S71" si="13">M39/$G39*100</f>
        <v>0</v>
      </c>
      <c r="T39" s="82">
        <f t="shared" ref="T39:T71" si="14">N39/$G39*100</f>
        <v>13.299492385786801</v>
      </c>
      <c r="U39" s="82">
        <f t="shared" ref="U39:U71" si="15">O39/$G39*100</f>
        <v>4.5685279187817258</v>
      </c>
      <c r="V39" s="82">
        <f t="shared" ref="V39:V71" si="16">P39/$G39*100</f>
        <v>3.6548223350253801</v>
      </c>
      <c r="W39" s="82">
        <f t="shared" si="9"/>
        <v>78.477157360406096</v>
      </c>
      <c r="X39" s="27"/>
      <c r="Y39" s="82"/>
      <c r="Z39" s="25"/>
      <c r="AA39" s="82"/>
      <c r="AB39" s="90" t="s">
        <v>336</v>
      </c>
      <c r="AC39" s="90" t="s">
        <v>335</v>
      </c>
      <c r="AD39" s="5" t="s">
        <v>334</v>
      </c>
      <c r="AE39" s="24" t="s">
        <v>333</v>
      </c>
      <c r="AF39" s="28"/>
      <c r="AG39" s="29" t="s">
        <v>95</v>
      </c>
      <c r="AH39" s="4" t="str">
        <f>AB39</f>
        <v xml:space="preserve"> ,145</v>
      </c>
      <c r="AI39" s="30" t="s">
        <v>99</v>
      </c>
      <c r="AJ39" s="5">
        <v>6.9000000000000006E-2</v>
      </c>
      <c r="AK39" s="2" t="s">
        <v>502</v>
      </c>
      <c r="AL39" s="3" t="s">
        <v>703</v>
      </c>
      <c r="AM39" s="29" t="s">
        <v>96</v>
      </c>
      <c r="AN39" s="4" t="str">
        <f>AH39</f>
        <v xml:space="preserve"> ,145</v>
      </c>
      <c r="AO39" s="30" t="s">
        <v>99</v>
      </c>
      <c r="AP39" s="5">
        <v>0.107</v>
      </c>
      <c r="AQ39" s="2" t="s">
        <v>453</v>
      </c>
      <c r="AR39" s="3" t="s">
        <v>703</v>
      </c>
      <c r="AS39" s="29" t="s">
        <v>114</v>
      </c>
      <c r="AT39" s="4" t="str">
        <f>AH39</f>
        <v xml:space="preserve"> ,145</v>
      </c>
      <c r="AU39" s="30" t="s">
        <v>99</v>
      </c>
      <c r="AV39" s="5">
        <v>3.2000000000000001E-2</v>
      </c>
      <c r="AW39" s="2" t="s">
        <v>453</v>
      </c>
      <c r="AX39" s="5" t="s">
        <v>703</v>
      </c>
      <c r="AY39" s="29" t="s">
        <v>123</v>
      </c>
      <c r="AZ39" s="4" t="str">
        <f>AH39</f>
        <v xml:space="preserve"> ,145</v>
      </c>
      <c r="BA39" s="30" t="s">
        <v>99</v>
      </c>
      <c r="BB39" s="5">
        <v>5.3999999999999999E-2</v>
      </c>
      <c r="BC39" s="2" t="s">
        <v>453</v>
      </c>
      <c r="BD39" s="3" t="s">
        <v>703</v>
      </c>
      <c r="BE39" s="29"/>
      <c r="BG39" s="30"/>
      <c r="BH39" s="5"/>
      <c r="BJ39" s="46"/>
      <c r="BK39" s="5"/>
    </row>
    <row r="40" spans="2:63" x14ac:dyDescent="0.25">
      <c r="B40" s="105"/>
      <c r="C40" s="35">
        <v>1</v>
      </c>
      <c r="D40" s="35">
        <v>36</v>
      </c>
      <c r="E40" s="35" t="s">
        <v>92</v>
      </c>
      <c r="F40" s="113" t="s">
        <v>399</v>
      </c>
      <c r="G40" s="36">
        <f t="shared" si="12"/>
        <v>3.177</v>
      </c>
      <c r="H40" s="54" t="s">
        <v>433</v>
      </c>
      <c r="I40" s="6">
        <v>2</v>
      </c>
      <c r="J40" s="6">
        <v>13</v>
      </c>
      <c r="K40" s="21">
        <v>22</v>
      </c>
      <c r="L40" s="22">
        <f t="shared" si="3"/>
        <v>37</v>
      </c>
      <c r="M40" s="23">
        <v>0.78500000000000003</v>
      </c>
      <c r="N40" s="5">
        <v>0.42599999999999999</v>
      </c>
      <c r="O40" s="5">
        <v>0.122</v>
      </c>
      <c r="P40" s="5">
        <v>6.3E-2</v>
      </c>
      <c r="Q40" s="90">
        <v>1.7809999999999999</v>
      </c>
      <c r="R40" s="24"/>
      <c r="S40" s="25">
        <f t="shared" si="13"/>
        <v>24.708844822159271</v>
      </c>
      <c r="T40" s="82">
        <f t="shared" si="14"/>
        <v>13.408876298394713</v>
      </c>
      <c r="U40" s="82">
        <f t="shared" si="15"/>
        <v>3.8401007239534151</v>
      </c>
      <c r="V40" s="82">
        <f t="shared" si="16"/>
        <v>1.9830028328611897</v>
      </c>
      <c r="W40" s="82">
        <f t="shared" si="9"/>
        <v>56.059175322631404</v>
      </c>
      <c r="X40" s="27"/>
      <c r="Y40" s="82"/>
      <c r="Z40" s="25"/>
      <c r="AA40" s="82" t="s">
        <v>341</v>
      </c>
      <c r="AB40" s="90" t="s">
        <v>340</v>
      </c>
      <c r="AC40" s="90" t="s">
        <v>339</v>
      </c>
      <c r="AD40" s="5" t="s">
        <v>338</v>
      </c>
      <c r="AE40" s="24" t="s">
        <v>337</v>
      </c>
      <c r="AF40" s="28"/>
      <c r="AG40" s="29"/>
      <c r="AH40" s="4" t="str">
        <f>AA40</f>
        <v xml:space="preserve"> ,150</v>
      </c>
      <c r="AI40" s="72" t="s">
        <v>112</v>
      </c>
      <c r="AJ40" s="5">
        <v>0.78500000000000003</v>
      </c>
      <c r="AK40" s="2" t="s">
        <v>502</v>
      </c>
      <c r="AL40" s="3" t="s">
        <v>703</v>
      </c>
      <c r="AM40" s="29" t="s">
        <v>95</v>
      </c>
      <c r="AN40" s="4" t="str">
        <f>AB40</f>
        <v xml:space="preserve"> ,149</v>
      </c>
      <c r="AO40" s="30" t="s">
        <v>99</v>
      </c>
      <c r="AP40" s="5">
        <v>0.313</v>
      </c>
      <c r="AQ40" s="2" t="s">
        <v>453</v>
      </c>
      <c r="AR40" s="3" t="s">
        <v>703</v>
      </c>
      <c r="AS40" s="29" t="s">
        <v>96</v>
      </c>
      <c r="AT40" s="4" t="str">
        <f>AN40</f>
        <v xml:space="preserve"> ,149</v>
      </c>
      <c r="AU40" s="30" t="s">
        <v>99</v>
      </c>
      <c r="AV40" s="5">
        <v>0.113</v>
      </c>
      <c r="AW40" s="2" t="s">
        <v>453</v>
      </c>
      <c r="AX40" s="5" t="s">
        <v>703</v>
      </c>
      <c r="AY40" s="29"/>
      <c r="BA40" s="30"/>
      <c r="BB40" s="5"/>
      <c r="BC40" s="2"/>
      <c r="BE40" s="29"/>
      <c r="BG40" s="30"/>
      <c r="BH40" s="5"/>
      <c r="BJ40" s="46"/>
      <c r="BK40" s="5"/>
    </row>
    <row r="41" spans="2:63" x14ac:dyDescent="0.25">
      <c r="B41" s="105">
        <v>44663</v>
      </c>
      <c r="C41" s="6">
        <v>1</v>
      </c>
      <c r="D41" s="35">
        <v>37</v>
      </c>
      <c r="E41" s="2" t="s">
        <v>93</v>
      </c>
      <c r="F41" s="113" t="s">
        <v>400</v>
      </c>
      <c r="G41" s="36">
        <f t="shared" si="12"/>
        <v>1.395</v>
      </c>
      <c r="H41" s="54" t="s">
        <v>433</v>
      </c>
      <c r="I41" s="6">
        <v>1</v>
      </c>
      <c r="J41" s="6">
        <v>5</v>
      </c>
      <c r="K41" s="21">
        <v>19</v>
      </c>
      <c r="L41" s="22">
        <f t="shared" si="3"/>
        <v>25</v>
      </c>
      <c r="M41" s="117">
        <v>0</v>
      </c>
      <c r="N41" s="5">
        <v>4.2000000000000003E-2</v>
      </c>
      <c r="O41" s="5">
        <v>8.2000000000000003E-2</v>
      </c>
      <c r="P41" s="5">
        <v>5.8000000000000003E-2</v>
      </c>
      <c r="Q41" s="90">
        <v>1.2130000000000001</v>
      </c>
      <c r="R41" s="24"/>
      <c r="S41" s="25">
        <f t="shared" si="13"/>
        <v>0</v>
      </c>
      <c r="T41" s="82">
        <f t="shared" si="14"/>
        <v>3.010752688172043</v>
      </c>
      <c r="U41" s="82">
        <f t="shared" si="15"/>
        <v>5.8781362007168463</v>
      </c>
      <c r="V41" s="82">
        <f t="shared" si="16"/>
        <v>4.1577060931899643</v>
      </c>
      <c r="W41" s="82">
        <f t="shared" si="9"/>
        <v>86.953405017921142</v>
      </c>
      <c r="X41" s="27"/>
      <c r="Y41" s="82"/>
      <c r="Z41" s="25"/>
      <c r="AA41" s="82"/>
      <c r="AB41" s="90" t="s">
        <v>345</v>
      </c>
      <c r="AC41" s="90" t="s">
        <v>344</v>
      </c>
      <c r="AD41" s="5" t="s">
        <v>343</v>
      </c>
      <c r="AE41" s="24" t="s">
        <v>342</v>
      </c>
      <c r="AF41" s="53"/>
      <c r="AG41" s="29" t="s">
        <v>95</v>
      </c>
      <c r="AH41" s="4" t="str">
        <f>AB41</f>
        <v xml:space="preserve"> ,154</v>
      </c>
      <c r="AI41" s="30" t="s">
        <v>99</v>
      </c>
      <c r="AJ41" s="5">
        <v>4.2000000000000003E-2</v>
      </c>
      <c r="AK41" s="2" t="s">
        <v>502</v>
      </c>
      <c r="AL41" s="3" t="s">
        <v>703</v>
      </c>
      <c r="AM41" s="29"/>
      <c r="AO41" s="30"/>
      <c r="AP41" s="5"/>
      <c r="AQ41" s="2"/>
      <c r="AR41" s="31"/>
      <c r="AS41" s="29"/>
      <c r="AU41" s="30"/>
      <c r="AV41" s="5"/>
      <c r="AW41" s="2"/>
      <c r="AX41" s="6"/>
      <c r="AY41" s="29"/>
      <c r="BA41" s="30"/>
      <c r="BB41" s="5"/>
      <c r="BC41" s="2"/>
      <c r="BD41" s="31"/>
      <c r="BE41" s="29"/>
      <c r="BG41" s="30"/>
      <c r="BH41" s="5"/>
      <c r="BJ41" s="37"/>
      <c r="BK41" s="5"/>
    </row>
    <row r="42" spans="2:63" x14ac:dyDescent="0.25">
      <c r="B42" s="105"/>
      <c r="C42" s="35">
        <v>1</v>
      </c>
      <c r="D42" s="35">
        <v>38</v>
      </c>
      <c r="E42" s="2" t="s">
        <v>94</v>
      </c>
      <c r="F42" s="113" t="s">
        <v>401</v>
      </c>
      <c r="G42" s="36">
        <f t="shared" si="12"/>
        <v>2.0030000000000001</v>
      </c>
      <c r="H42" s="54" t="s">
        <v>433</v>
      </c>
      <c r="I42" s="6">
        <v>2</v>
      </c>
      <c r="J42" s="6">
        <v>9</v>
      </c>
      <c r="K42" s="21">
        <v>17</v>
      </c>
      <c r="L42" s="22">
        <f t="shared" si="3"/>
        <v>28</v>
      </c>
      <c r="M42" s="117">
        <v>0</v>
      </c>
      <c r="N42" s="5">
        <f>0.371+0.169</f>
        <v>0.54</v>
      </c>
      <c r="O42" s="5">
        <v>0.13100000000000001</v>
      </c>
      <c r="P42" s="5">
        <v>0.05</v>
      </c>
      <c r="Q42" s="90">
        <v>1.282</v>
      </c>
      <c r="R42" s="24"/>
      <c r="S42" s="25">
        <f t="shared" si="13"/>
        <v>0</v>
      </c>
      <c r="T42" s="82">
        <f t="shared" si="14"/>
        <v>26.959560659011483</v>
      </c>
      <c r="U42" s="82">
        <f t="shared" si="15"/>
        <v>6.5401897154268598</v>
      </c>
      <c r="V42" s="82">
        <f t="shared" si="16"/>
        <v>2.4962556165751373</v>
      </c>
      <c r="W42" s="82">
        <f t="shared" si="9"/>
        <v>64.003994008986524</v>
      </c>
      <c r="X42" s="27"/>
      <c r="Y42" s="82"/>
      <c r="Z42" s="25"/>
      <c r="AA42" s="82"/>
      <c r="AB42" s="90" t="s">
        <v>349</v>
      </c>
      <c r="AC42" s="90" t="s">
        <v>348</v>
      </c>
      <c r="AD42" s="5" t="s">
        <v>347</v>
      </c>
      <c r="AE42" s="24" t="s">
        <v>346</v>
      </c>
      <c r="AF42" s="28"/>
      <c r="AG42" s="29" t="s">
        <v>95</v>
      </c>
      <c r="AH42" s="4" t="str">
        <f>AB42</f>
        <v xml:space="preserve"> ,158</v>
      </c>
      <c r="AI42" s="30" t="s">
        <v>99</v>
      </c>
      <c r="AJ42" s="5">
        <v>0.371</v>
      </c>
      <c r="AK42" s="2" t="s">
        <v>502</v>
      </c>
      <c r="AL42" s="3" t="s">
        <v>703</v>
      </c>
      <c r="AM42" s="29" t="s">
        <v>96</v>
      </c>
      <c r="AN42" s="4" t="str">
        <f>AH42</f>
        <v xml:space="preserve"> ,158</v>
      </c>
      <c r="AO42" s="30" t="s">
        <v>99</v>
      </c>
      <c r="AP42" s="5">
        <v>0.16900000000000001</v>
      </c>
      <c r="AQ42" s="2" t="s">
        <v>453</v>
      </c>
      <c r="AR42" s="3" t="s">
        <v>703</v>
      </c>
      <c r="AS42" s="29"/>
      <c r="AU42" s="30"/>
      <c r="AV42" s="5"/>
      <c r="AW42" s="2"/>
      <c r="AY42" s="29"/>
      <c r="BA42" s="30"/>
      <c r="BB42" s="5"/>
      <c r="BC42" s="2"/>
      <c r="BE42" s="29"/>
      <c r="BG42" s="30"/>
      <c r="BH42" s="5"/>
      <c r="BJ42" s="46"/>
      <c r="BK42" s="5"/>
    </row>
    <row r="43" spans="2:63" x14ac:dyDescent="0.25">
      <c r="B43" s="105"/>
      <c r="C43" s="35">
        <v>1</v>
      </c>
      <c r="D43" s="6">
        <v>39</v>
      </c>
      <c r="E43" s="35" t="s">
        <v>64</v>
      </c>
      <c r="F43" s="115" t="s">
        <v>402</v>
      </c>
      <c r="G43" s="36">
        <f t="shared" si="12"/>
        <v>0.997</v>
      </c>
      <c r="H43" s="54" t="s">
        <v>433</v>
      </c>
      <c r="I43" s="6" t="s">
        <v>433</v>
      </c>
      <c r="J43" s="6">
        <v>4</v>
      </c>
      <c r="K43" s="21">
        <v>9</v>
      </c>
      <c r="L43" s="22">
        <f t="shared" si="3"/>
        <v>13</v>
      </c>
      <c r="M43" s="117">
        <v>0</v>
      </c>
      <c r="N43" s="118">
        <v>0</v>
      </c>
      <c r="O43" s="5">
        <v>7.8E-2</v>
      </c>
      <c r="P43" s="5">
        <v>2.4E-2</v>
      </c>
      <c r="Q43" s="90">
        <v>0.89500000000000002</v>
      </c>
      <c r="R43" s="24"/>
      <c r="S43" s="25">
        <f t="shared" si="13"/>
        <v>0</v>
      </c>
      <c r="T43" s="82">
        <f t="shared" si="14"/>
        <v>0</v>
      </c>
      <c r="U43" s="82">
        <f t="shared" si="15"/>
        <v>7.8234704112337017</v>
      </c>
      <c r="V43" s="82">
        <f t="shared" si="16"/>
        <v>2.4072216649949851</v>
      </c>
      <c r="W43" s="82">
        <f t="shared" si="9"/>
        <v>89.769307923771308</v>
      </c>
      <c r="X43" s="27"/>
      <c r="Y43" s="82"/>
      <c r="Z43" s="25"/>
      <c r="AA43" s="82"/>
      <c r="AB43" s="90"/>
      <c r="AC43" s="90" t="s">
        <v>352</v>
      </c>
      <c r="AD43" s="5" t="s">
        <v>351</v>
      </c>
      <c r="AE43" s="24" t="s">
        <v>350</v>
      </c>
      <c r="AF43" s="53"/>
      <c r="AG43" s="29"/>
      <c r="AI43" s="30"/>
      <c r="AJ43" s="5"/>
      <c r="AM43" s="29"/>
      <c r="AO43" s="30"/>
      <c r="AP43" s="5"/>
      <c r="AQ43" s="2"/>
      <c r="AR43" s="31"/>
      <c r="AS43" s="29"/>
      <c r="AU43" s="30"/>
      <c r="AV43" s="5"/>
      <c r="AW43" s="2"/>
      <c r="AX43" s="6"/>
      <c r="AY43" s="29"/>
      <c r="BA43" s="30"/>
      <c r="BB43" s="5"/>
      <c r="BC43" s="2"/>
      <c r="BD43" s="31"/>
      <c r="BE43" s="29"/>
      <c r="BG43" s="30"/>
      <c r="BH43" s="5"/>
      <c r="BJ43" s="37"/>
      <c r="BK43" s="5"/>
    </row>
    <row r="44" spans="2:63" x14ac:dyDescent="0.25">
      <c r="B44" s="105"/>
      <c r="C44" s="35">
        <v>1</v>
      </c>
      <c r="D44" s="35">
        <v>40</v>
      </c>
      <c r="E44" s="35" t="s">
        <v>65</v>
      </c>
      <c r="F44" s="113" t="s">
        <v>403</v>
      </c>
      <c r="G44" s="36">
        <f t="shared" si="12"/>
        <v>1.986</v>
      </c>
      <c r="H44" s="54" t="s">
        <v>433</v>
      </c>
      <c r="I44" s="6">
        <v>2</v>
      </c>
      <c r="J44" s="6">
        <v>5</v>
      </c>
      <c r="K44" s="21">
        <v>15</v>
      </c>
      <c r="L44" s="22">
        <f t="shared" si="3"/>
        <v>22</v>
      </c>
      <c r="M44" s="117">
        <v>0</v>
      </c>
      <c r="N44" s="5">
        <f>0.394+0.072</f>
        <v>0.46600000000000003</v>
      </c>
      <c r="O44" s="5">
        <v>7.5999999999999998E-2</v>
      </c>
      <c r="P44" s="5">
        <v>6.3E-2</v>
      </c>
      <c r="Q44" s="90">
        <v>1.381</v>
      </c>
      <c r="R44" s="24"/>
      <c r="S44" s="25">
        <f t="shared" si="13"/>
        <v>0</v>
      </c>
      <c r="T44" s="82">
        <f t="shared" si="14"/>
        <v>23.464249748237663</v>
      </c>
      <c r="U44" s="82">
        <f t="shared" si="15"/>
        <v>3.8267875125881168</v>
      </c>
      <c r="V44" s="82">
        <f t="shared" si="16"/>
        <v>3.1722054380664653</v>
      </c>
      <c r="W44" s="82">
        <f t="shared" si="9"/>
        <v>69.536757301107755</v>
      </c>
      <c r="X44" s="27"/>
      <c r="Y44" s="82"/>
      <c r="Z44" s="25"/>
      <c r="AA44" s="82"/>
      <c r="AB44" s="90" t="str">
        <f>AH44</f>
        <v xml:space="preserve"> ,165</v>
      </c>
      <c r="AC44" s="90" t="s">
        <v>355</v>
      </c>
      <c r="AD44" s="5" t="s">
        <v>354</v>
      </c>
      <c r="AE44" s="24" t="s">
        <v>353</v>
      </c>
      <c r="AF44" s="53"/>
      <c r="AG44" s="29" t="s">
        <v>95</v>
      </c>
      <c r="AH44" s="2" t="s">
        <v>98</v>
      </c>
      <c r="AI44" s="30" t="s">
        <v>99</v>
      </c>
      <c r="AJ44" s="5">
        <v>0.39400000000000002</v>
      </c>
      <c r="AK44" s="2" t="s">
        <v>502</v>
      </c>
      <c r="AL44" s="3" t="s">
        <v>703</v>
      </c>
      <c r="AM44" s="29" t="s">
        <v>96</v>
      </c>
      <c r="AN44" s="79" t="s">
        <v>98</v>
      </c>
      <c r="AO44" s="30" t="s">
        <v>99</v>
      </c>
      <c r="AP44" s="5">
        <v>7.1999999999999995E-2</v>
      </c>
      <c r="AQ44" s="2" t="s">
        <v>453</v>
      </c>
      <c r="AR44" s="31" t="s">
        <v>703</v>
      </c>
      <c r="AS44" s="29"/>
      <c r="AU44" s="30"/>
      <c r="AV44" s="5"/>
      <c r="AW44" s="2"/>
      <c r="AX44" s="6"/>
      <c r="AY44" s="29"/>
      <c r="BA44" s="30"/>
      <c r="BB44" s="5"/>
      <c r="BC44" s="2"/>
      <c r="BD44" s="31"/>
      <c r="BE44" s="29"/>
      <c r="BG44" s="30"/>
      <c r="BH44" s="5"/>
      <c r="BJ44" s="37"/>
      <c r="BK44" s="5"/>
    </row>
    <row r="45" spans="2:63" x14ac:dyDescent="0.25">
      <c r="B45" s="105">
        <v>44664</v>
      </c>
      <c r="C45" s="6">
        <v>1</v>
      </c>
      <c r="D45" s="35">
        <v>41</v>
      </c>
      <c r="E45" s="35" t="s">
        <v>66</v>
      </c>
      <c r="F45" s="113" t="s">
        <v>404</v>
      </c>
      <c r="G45" s="36">
        <f t="shared" si="12"/>
        <v>2.181</v>
      </c>
      <c r="H45" s="54" t="s">
        <v>433</v>
      </c>
      <c r="I45" s="6">
        <v>1</v>
      </c>
      <c r="J45" s="6">
        <v>9</v>
      </c>
      <c r="K45" s="21">
        <v>26</v>
      </c>
      <c r="L45" s="22">
        <f t="shared" si="3"/>
        <v>36</v>
      </c>
      <c r="M45" s="117">
        <v>0</v>
      </c>
      <c r="N45" s="5">
        <v>0.112</v>
      </c>
      <c r="O45" s="5">
        <v>0.14599999999999999</v>
      </c>
      <c r="P45" s="5">
        <v>8.4000000000000005E-2</v>
      </c>
      <c r="Q45" s="90">
        <v>1.839</v>
      </c>
      <c r="R45" s="24"/>
      <c r="S45" s="25">
        <f t="shared" si="13"/>
        <v>0</v>
      </c>
      <c r="T45" s="82">
        <f t="shared" si="14"/>
        <v>5.1352590554791382</v>
      </c>
      <c r="U45" s="82">
        <f t="shared" si="15"/>
        <v>6.6941769830353053</v>
      </c>
      <c r="V45" s="82">
        <f t="shared" si="16"/>
        <v>3.8514442916093539</v>
      </c>
      <c r="W45" s="82">
        <f t="shared" si="9"/>
        <v>84.319119669876201</v>
      </c>
      <c r="X45" s="27"/>
      <c r="Y45" s="82"/>
      <c r="Z45" s="25"/>
      <c r="AA45" s="82"/>
      <c r="AB45" s="90" t="str">
        <f>AH45</f>
        <v xml:space="preserve"> ,169</v>
      </c>
      <c r="AC45" s="90" t="s">
        <v>356</v>
      </c>
      <c r="AD45" s="5" t="s">
        <v>357</v>
      </c>
      <c r="AE45" s="24" t="s">
        <v>358</v>
      </c>
      <c r="AF45" s="53"/>
      <c r="AG45" s="29" t="s">
        <v>95</v>
      </c>
      <c r="AH45" s="2" t="s">
        <v>97</v>
      </c>
      <c r="AI45" s="30" t="s">
        <v>99</v>
      </c>
      <c r="AJ45" s="5">
        <v>0.112</v>
      </c>
      <c r="AK45" s="2" t="s">
        <v>502</v>
      </c>
      <c r="AL45" s="3" t="s">
        <v>703</v>
      </c>
      <c r="AM45" s="29"/>
      <c r="AO45" s="30"/>
      <c r="AP45" s="5"/>
      <c r="AQ45" s="2"/>
      <c r="AR45" s="31"/>
      <c r="AS45" s="29"/>
      <c r="AU45" s="30"/>
      <c r="AV45" s="5"/>
      <c r="AW45" s="2"/>
      <c r="AX45" s="6"/>
      <c r="AY45" s="29"/>
      <c r="BA45" s="30"/>
      <c r="BB45" s="5"/>
      <c r="BC45" s="2"/>
      <c r="BD45" s="31"/>
      <c r="BE45" s="29"/>
      <c r="BG45" s="30"/>
      <c r="BH45" s="5"/>
      <c r="BJ45" s="37"/>
      <c r="BK45" s="5"/>
    </row>
    <row r="46" spans="2:63" x14ac:dyDescent="0.25">
      <c r="B46" s="105"/>
      <c r="C46" s="35">
        <v>1</v>
      </c>
      <c r="D46" s="35">
        <v>42</v>
      </c>
      <c r="E46" s="35" t="s">
        <v>67</v>
      </c>
      <c r="F46" s="113" t="s">
        <v>405</v>
      </c>
      <c r="G46" s="36">
        <f t="shared" si="12"/>
        <v>2.3940000000000001</v>
      </c>
      <c r="H46" s="54" t="s">
        <v>433</v>
      </c>
      <c r="I46" s="6">
        <v>1</v>
      </c>
      <c r="J46" s="6">
        <v>4</v>
      </c>
      <c r="K46" s="21">
        <v>25</v>
      </c>
      <c r="L46" s="22">
        <f t="shared" si="3"/>
        <v>30</v>
      </c>
      <c r="M46" s="117">
        <v>0</v>
      </c>
      <c r="N46" s="5">
        <v>0.19</v>
      </c>
      <c r="O46" s="5">
        <v>5.5E-2</v>
      </c>
      <c r="P46" s="5">
        <v>7.1999999999999995E-2</v>
      </c>
      <c r="Q46" s="90">
        <v>2.077</v>
      </c>
      <c r="R46" s="24"/>
      <c r="S46" s="25">
        <f t="shared" si="13"/>
        <v>0</v>
      </c>
      <c r="T46" s="82">
        <f t="shared" si="14"/>
        <v>7.9365079365079358</v>
      </c>
      <c r="U46" s="82">
        <f t="shared" si="15"/>
        <v>2.297410192147034</v>
      </c>
      <c r="V46" s="82">
        <f t="shared" si="16"/>
        <v>3.0075187969924806</v>
      </c>
      <c r="W46" s="82">
        <f t="shared" si="9"/>
        <v>86.758563074352551</v>
      </c>
      <c r="X46" s="27"/>
      <c r="Y46" s="82"/>
      <c r="Z46" s="25"/>
      <c r="AA46" s="82"/>
      <c r="AB46" s="90" t="str">
        <f>AH46</f>
        <v xml:space="preserve"> ,173</v>
      </c>
      <c r="AC46" s="90" t="s">
        <v>103</v>
      </c>
      <c r="AD46" s="5" t="s">
        <v>788</v>
      </c>
      <c r="AE46" s="24" t="s">
        <v>104</v>
      </c>
      <c r="AF46" s="53"/>
      <c r="AG46" s="29" t="s">
        <v>95</v>
      </c>
      <c r="AH46" s="2" t="s">
        <v>100</v>
      </c>
      <c r="AI46" s="30" t="s">
        <v>99</v>
      </c>
      <c r="AJ46" s="5">
        <f>N46</f>
        <v>0.19</v>
      </c>
      <c r="AK46" s="2" t="s">
        <v>502</v>
      </c>
      <c r="AL46" s="3" t="s">
        <v>703</v>
      </c>
      <c r="AM46" s="29"/>
      <c r="AO46" s="30"/>
      <c r="AP46" s="5"/>
      <c r="AQ46" s="2"/>
      <c r="AR46" s="31"/>
      <c r="AS46" s="29"/>
      <c r="AU46" s="30"/>
      <c r="AV46" s="5"/>
      <c r="AW46" s="2"/>
      <c r="AX46" s="6"/>
      <c r="AY46" s="29"/>
      <c r="BA46" s="30"/>
      <c r="BB46" s="5"/>
      <c r="BC46" s="2"/>
      <c r="BD46" s="31"/>
      <c r="BE46" s="29"/>
      <c r="BG46" s="30"/>
      <c r="BH46" s="5"/>
      <c r="BJ46" s="37"/>
      <c r="BK46" s="5"/>
    </row>
    <row r="47" spans="2:63" x14ac:dyDescent="0.25">
      <c r="B47" s="105"/>
      <c r="C47" s="35">
        <v>1</v>
      </c>
      <c r="D47" s="35">
        <v>43</v>
      </c>
      <c r="E47" s="35" t="s">
        <v>68</v>
      </c>
      <c r="F47" s="113" t="s">
        <v>406</v>
      </c>
      <c r="G47" s="36">
        <f t="shared" si="12"/>
        <v>2.2929999999999997</v>
      </c>
      <c r="H47" s="54" t="s">
        <v>433</v>
      </c>
      <c r="I47" s="6">
        <v>2</v>
      </c>
      <c r="J47" s="6">
        <v>8</v>
      </c>
      <c r="K47" s="21">
        <v>33</v>
      </c>
      <c r="L47" s="22">
        <f t="shared" si="3"/>
        <v>43</v>
      </c>
      <c r="M47" s="117">
        <v>0</v>
      </c>
      <c r="N47" s="5">
        <f>AJ47+AP47</f>
        <v>0.17399999999999999</v>
      </c>
      <c r="O47" s="5">
        <v>0.11</v>
      </c>
      <c r="P47" s="5">
        <v>0.105</v>
      </c>
      <c r="Q47" s="90">
        <v>1.9039999999999999</v>
      </c>
      <c r="R47" s="24"/>
      <c r="S47" s="25">
        <f t="shared" si="13"/>
        <v>0</v>
      </c>
      <c r="T47" s="82">
        <f t="shared" si="14"/>
        <v>7.5883122546881818</v>
      </c>
      <c r="U47" s="82">
        <f t="shared" si="15"/>
        <v>4.7972088966419548</v>
      </c>
      <c r="V47" s="82">
        <f t="shared" si="16"/>
        <v>4.5791539467945928</v>
      </c>
      <c r="W47" s="82">
        <f t="shared" si="9"/>
        <v>83.035324901875285</v>
      </c>
      <c r="X47" s="27"/>
      <c r="Y47" s="82"/>
      <c r="Z47" s="25"/>
      <c r="AA47" s="82"/>
      <c r="AB47" s="90" t="str">
        <f>AH47</f>
        <v xml:space="preserve"> ,177</v>
      </c>
      <c r="AC47" s="90" t="s">
        <v>106</v>
      </c>
      <c r="AD47" s="5" t="s">
        <v>105</v>
      </c>
      <c r="AE47" s="24" t="s">
        <v>102</v>
      </c>
      <c r="AF47" s="28"/>
      <c r="AG47" s="29" t="s">
        <v>95</v>
      </c>
      <c r="AH47" s="2" t="s">
        <v>107</v>
      </c>
      <c r="AI47" s="30" t="s">
        <v>99</v>
      </c>
      <c r="AJ47" s="5">
        <v>6.5000000000000002E-2</v>
      </c>
      <c r="AK47" s="2" t="s">
        <v>502</v>
      </c>
      <c r="AL47" s="3" t="s">
        <v>703</v>
      </c>
      <c r="AM47" s="29" t="s">
        <v>96</v>
      </c>
      <c r="AN47" s="2" t="s">
        <v>107</v>
      </c>
      <c r="AO47" s="30" t="s">
        <v>99</v>
      </c>
      <c r="AP47" s="5">
        <v>0.109</v>
      </c>
      <c r="AQ47" s="2" t="s">
        <v>453</v>
      </c>
      <c r="AR47" s="3" t="s">
        <v>703</v>
      </c>
      <c r="AS47" s="29"/>
      <c r="AU47" s="30"/>
      <c r="AV47" s="5"/>
      <c r="AW47" s="2"/>
      <c r="AY47" s="29"/>
      <c r="BA47" s="30"/>
      <c r="BB47" s="5"/>
      <c r="BC47" s="2"/>
      <c r="BE47" s="29"/>
      <c r="BG47" s="30"/>
      <c r="BH47" s="5"/>
      <c r="BJ47" s="46"/>
      <c r="BK47" s="5"/>
    </row>
    <row r="48" spans="2:63" x14ac:dyDescent="0.25">
      <c r="B48" s="105"/>
      <c r="C48" s="35">
        <v>1</v>
      </c>
      <c r="D48" s="19">
        <v>44</v>
      </c>
      <c r="E48" s="35" t="s">
        <v>69</v>
      </c>
      <c r="F48" s="113" t="s">
        <v>407</v>
      </c>
      <c r="G48" s="36">
        <f t="shared" si="12"/>
        <v>3.274</v>
      </c>
      <c r="H48" s="54">
        <v>1</v>
      </c>
      <c r="I48" s="6">
        <v>3</v>
      </c>
      <c r="J48" s="6">
        <v>11</v>
      </c>
      <c r="K48" s="21">
        <v>23</v>
      </c>
      <c r="L48" s="22">
        <f t="shared" si="3"/>
        <v>38</v>
      </c>
      <c r="M48" s="23">
        <v>0.61499999999999999</v>
      </c>
      <c r="N48" s="5">
        <f>AP48+AV48+BB48</f>
        <v>0.32200000000000001</v>
      </c>
      <c r="O48" s="5">
        <v>0.25</v>
      </c>
      <c r="P48" s="5">
        <v>8.3000000000000004E-2</v>
      </c>
      <c r="Q48" s="90">
        <v>2.004</v>
      </c>
      <c r="R48" s="24"/>
      <c r="S48" s="25">
        <f t="shared" si="13"/>
        <v>18.78436163714111</v>
      </c>
      <c r="T48" s="82">
        <f t="shared" si="14"/>
        <v>9.835064141722663</v>
      </c>
      <c r="U48" s="82">
        <f t="shared" si="15"/>
        <v>7.6359193646915084</v>
      </c>
      <c r="V48" s="82">
        <f t="shared" si="16"/>
        <v>2.5351252290775812</v>
      </c>
      <c r="W48" s="82">
        <f t="shared" si="9"/>
        <v>61.209529627367132</v>
      </c>
      <c r="X48" s="27"/>
      <c r="Y48" s="82"/>
      <c r="Z48" s="25"/>
      <c r="AA48" s="82" t="s">
        <v>111</v>
      </c>
      <c r="AB48" s="90" t="s">
        <v>113</v>
      </c>
      <c r="AC48" s="90" t="s">
        <v>110</v>
      </c>
      <c r="AD48" s="5" t="s">
        <v>109</v>
      </c>
      <c r="AE48" s="24" t="s">
        <v>108</v>
      </c>
      <c r="AF48" s="28"/>
      <c r="AG48" s="29"/>
      <c r="AH48" s="2" t="s">
        <v>111</v>
      </c>
      <c r="AI48" s="72" t="s">
        <v>112</v>
      </c>
      <c r="AJ48" s="5">
        <v>0.61499999999999999</v>
      </c>
      <c r="AK48" s="2" t="s">
        <v>502</v>
      </c>
      <c r="AL48" s="3" t="s">
        <v>703</v>
      </c>
      <c r="AM48" s="29" t="s">
        <v>95</v>
      </c>
      <c r="AN48" s="2" t="s">
        <v>113</v>
      </c>
      <c r="AO48" s="30" t="s">
        <v>99</v>
      </c>
      <c r="AP48" s="5">
        <v>0.18099999999999999</v>
      </c>
      <c r="AQ48" s="2" t="s">
        <v>453</v>
      </c>
      <c r="AR48" s="3" t="s">
        <v>703</v>
      </c>
      <c r="AS48" s="29" t="s">
        <v>96</v>
      </c>
      <c r="AT48" s="2" t="s">
        <v>113</v>
      </c>
      <c r="AU48" s="30" t="s">
        <v>99</v>
      </c>
      <c r="AV48" s="5">
        <v>8.7999999999999995E-2</v>
      </c>
      <c r="AW48" s="2" t="s">
        <v>453</v>
      </c>
      <c r="AX48" s="5" t="s">
        <v>703</v>
      </c>
      <c r="AY48" s="29" t="s">
        <v>114</v>
      </c>
      <c r="AZ48" s="2" t="s">
        <v>113</v>
      </c>
      <c r="BA48" s="30" t="s">
        <v>99</v>
      </c>
      <c r="BB48" s="5">
        <v>5.2999999999999999E-2</v>
      </c>
      <c r="BC48" s="2" t="s">
        <v>453</v>
      </c>
      <c r="BD48" s="3" t="s">
        <v>703</v>
      </c>
      <c r="BE48" s="29"/>
      <c r="BG48" s="30"/>
      <c r="BH48" s="5"/>
      <c r="BJ48" s="46"/>
      <c r="BK48" s="5"/>
    </row>
    <row r="49" spans="2:63" x14ac:dyDescent="0.25">
      <c r="B49" s="105"/>
      <c r="C49" s="6">
        <v>1</v>
      </c>
      <c r="D49" s="35">
        <v>45</v>
      </c>
      <c r="E49" s="35" t="s">
        <v>70</v>
      </c>
      <c r="F49" s="115" t="s">
        <v>408</v>
      </c>
      <c r="G49" s="36">
        <f t="shared" si="12"/>
        <v>2.8810000000000002</v>
      </c>
      <c r="H49" s="54" t="s">
        <v>433</v>
      </c>
      <c r="I49" s="6">
        <v>1</v>
      </c>
      <c r="J49" s="6">
        <v>15</v>
      </c>
      <c r="K49" s="21">
        <v>27</v>
      </c>
      <c r="L49" s="22">
        <f t="shared" si="3"/>
        <v>43</v>
      </c>
      <c r="M49" s="117">
        <v>0</v>
      </c>
      <c r="N49" s="5">
        <f>AJ49</f>
        <v>0.20499999999999999</v>
      </c>
      <c r="O49" s="5">
        <v>0.23300000000000001</v>
      </c>
      <c r="P49" s="5">
        <v>0.1</v>
      </c>
      <c r="Q49" s="90">
        <v>2.343</v>
      </c>
      <c r="R49" s="24"/>
      <c r="S49" s="25">
        <f t="shared" si="13"/>
        <v>0</v>
      </c>
      <c r="T49" s="82">
        <f t="shared" si="14"/>
        <v>7.1155848663658441</v>
      </c>
      <c r="U49" s="82">
        <f t="shared" si="15"/>
        <v>8.0874696286011787</v>
      </c>
      <c r="V49" s="82">
        <f t="shared" si="16"/>
        <v>3.4710170079833387</v>
      </c>
      <c r="W49" s="82">
        <f t="shared" si="9"/>
        <v>81.325928497049631</v>
      </c>
      <c r="X49" s="27"/>
      <c r="Y49" s="82"/>
      <c r="Z49" s="25"/>
      <c r="AA49" s="82"/>
      <c r="AB49" s="90" t="str">
        <f>AH49</f>
        <v xml:space="preserve"> ,186</v>
      </c>
      <c r="AC49" s="90" t="s">
        <v>117</v>
      </c>
      <c r="AD49" s="5" t="s">
        <v>116</v>
      </c>
      <c r="AE49" s="24" t="s">
        <v>115</v>
      </c>
      <c r="AF49" s="53"/>
      <c r="AG49" s="29" t="s">
        <v>95</v>
      </c>
      <c r="AH49" s="2" t="s">
        <v>118</v>
      </c>
      <c r="AI49" s="30" t="s">
        <v>99</v>
      </c>
      <c r="AJ49" s="5">
        <v>0.20499999999999999</v>
      </c>
      <c r="AK49" s="2" t="s">
        <v>502</v>
      </c>
      <c r="AL49" s="3" t="s">
        <v>703</v>
      </c>
      <c r="AM49" s="29"/>
      <c r="AO49" s="30"/>
      <c r="AP49" s="5"/>
      <c r="AQ49" s="2"/>
      <c r="AR49" s="31"/>
      <c r="AS49" s="29"/>
      <c r="AU49" s="30"/>
      <c r="AV49" s="5"/>
      <c r="AW49" s="2"/>
      <c r="AX49" s="6"/>
      <c r="AY49" s="29"/>
      <c r="BA49" s="30"/>
      <c r="BB49" s="5"/>
      <c r="BC49" s="2"/>
      <c r="BD49" s="31"/>
      <c r="BE49" s="29"/>
      <c r="BG49" s="30"/>
      <c r="BH49" s="5"/>
      <c r="BJ49" s="37"/>
      <c r="BK49" s="5"/>
    </row>
    <row r="50" spans="2:63" x14ac:dyDescent="0.25">
      <c r="B50" s="105">
        <v>44665</v>
      </c>
      <c r="C50" s="35">
        <v>1</v>
      </c>
      <c r="D50" s="35">
        <v>46</v>
      </c>
      <c r="E50" s="35" t="s">
        <v>71</v>
      </c>
      <c r="F50" s="113" t="s">
        <v>409</v>
      </c>
      <c r="G50" s="36">
        <f t="shared" si="12"/>
        <v>2.3919999999999999</v>
      </c>
      <c r="H50" s="54" t="s">
        <v>433</v>
      </c>
      <c r="I50" s="6">
        <v>4</v>
      </c>
      <c r="J50" s="6">
        <v>10</v>
      </c>
      <c r="K50" s="21">
        <v>24</v>
      </c>
      <c r="L50" s="22">
        <f t="shared" si="3"/>
        <v>38</v>
      </c>
      <c r="M50" s="117">
        <v>0</v>
      </c>
      <c r="N50" s="5">
        <f>AJ50+AP50+AV50+BB50</f>
        <v>0.13700000000000001</v>
      </c>
      <c r="O50" s="5">
        <v>0.13300000000000001</v>
      </c>
      <c r="P50" s="5">
        <v>8.7999999999999995E-2</v>
      </c>
      <c r="Q50" s="90">
        <v>2.0339999999999998</v>
      </c>
      <c r="R50" s="24"/>
      <c r="S50" s="25">
        <f t="shared" si="13"/>
        <v>0</v>
      </c>
      <c r="T50" s="82">
        <f t="shared" si="14"/>
        <v>5.7274247491638803</v>
      </c>
      <c r="U50" s="82">
        <f t="shared" si="15"/>
        <v>5.5602006688963215</v>
      </c>
      <c r="V50" s="82">
        <f t="shared" si="16"/>
        <v>3.6789297658862874</v>
      </c>
      <c r="W50" s="82">
        <f t="shared" si="9"/>
        <v>85.033444816053503</v>
      </c>
      <c r="X50" s="27"/>
      <c r="Y50" s="82"/>
      <c r="Z50" s="25"/>
      <c r="AA50" s="82"/>
      <c r="AB50" s="90" t="str">
        <f>AH50</f>
        <v xml:space="preserve"> ,190</v>
      </c>
      <c r="AC50" s="90" t="s">
        <v>121</v>
      </c>
      <c r="AD50" s="5" t="s">
        <v>120</v>
      </c>
      <c r="AE50" s="24" t="s">
        <v>119</v>
      </c>
      <c r="AF50" s="28"/>
      <c r="AG50" s="29" t="s">
        <v>95</v>
      </c>
      <c r="AH50" s="2" t="s">
        <v>122</v>
      </c>
      <c r="AI50" s="30" t="s">
        <v>99</v>
      </c>
      <c r="AJ50" s="5">
        <f>0.031</f>
        <v>3.1E-2</v>
      </c>
      <c r="AK50" s="2" t="s">
        <v>502</v>
      </c>
      <c r="AL50" s="3" t="s">
        <v>703</v>
      </c>
      <c r="AM50" s="29" t="s">
        <v>96</v>
      </c>
      <c r="AN50" s="2" t="str">
        <f>AH50</f>
        <v xml:space="preserve"> ,190</v>
      </c>
      <c r="AO50" s="30" t="s">
        <v>99</v>
      </c>
      <c r="AP50" s="5">
        <v>3.5999999999999997E-2</v>
      </c>
      <c r="AQ50" s="2" t="s">
        <v>453</v>
      </c>
      <c r="AR50" s="3" t="s">
        <v>703</v>
      </c>
      <c r="AS50" s="29" t="s">
        <v>114</v>
      </c>
      <c r="AT50" s="2" t="str">
        <f>AH50</f>
        <v xml:space="preserve"> ,190</v>
      </c>
      <c r="AU50" s="30" t="s">
        <v>99</v>
      </c>
      <c r="AV50" s="5">
        <v>3.7999999999999999E-2</v>
      </c>
      <c r="AW50" s="2" t="s">
        <v>453</v>
      </c>
      <c r="AX50" s="5" t="s">
        <v>703</v>
      </c>
      <c r="AY50" s="29" t="s">
        <v>123</v>
      </c>
      <c r="AZ50" s="2" t="s">
        <v>122</v>
      </c>
      <c r="BA50" s="30" t="s">
        <v>99</v>
      </c>
      <c r="BB50" s="5">
        <v>3.2000000000000001E-2</v>
      </c>
      <c r="BC50" s="2" t="s">
        <v>453</v>
      </c>
      <c r="BD50" s="3" t="s">
        <v>703</v>
      </c>
      <c r="BE50" s="29"/>
      <c r="BG50" s="30"/>
      <c r="BH50" s="5"/>
      <c r="BJ50" s="46"/>
      <c r="BK50" s="5"/>
    </row>
    <row r="51" spans="2:63" x14ac:dyDescent="0.25">
      <c r="B51" s="105"/>
      <c r="C51" s="35">
        <v>1</v>
      </c>
      <c r="D51" s="35">
        <v>47</v>
      </c>
      <c r="E51" s="35" t="s">
        <v>72</v>
      </c>
      <c r="F51" s="113" t="s">
        <v>410</v>
      </c>
      <c r="G51" s="36">
        <f t="shared" si="12"/>
        <v>2.3220000000000001</v>
      </c>
      <c r="H51" s="54" t="s">
        <v>433</v>
      </c>
      <c r="I51" s="6">
        <v>4</v>
      </c>
      <c r="J51" s="6">
        <v>5</v>
      </c>
      <c r="K51" s="21">
        <v>20</v>
      </c>
      <c r="L51" s="22">
        <f t="shared" si="3"/>
        <v>29</v>
      </c>
      <c r="M51" s="117">
        <v>0</v>
      </c>
      <c r="N51" s="5">
        <f>AJ51+AP51+AV51+BB51</f>
        <v>0.23699999999999999</v>
      </c>
      <c r="O51" s="5">
        <v>0.08</v>
      </c>
      <c r="P51" s="5">
        <v>0.09</v>
      </c>
      <c r="Q51" s="90">
        <v>1.915</v>
      </c>
      <c r="R51" s="24"/>
      <c r="S51" s="25">
        <f t="shared" si="13"/>
        <v>0</v>
      </c>
      <c r="T51" s="82">
        <f t="shared" si="14"/>
        <v>10.206718346253229</v>
      </c>
      <c r="U51" s="82">
        <f t="shared" si="15"/>
        <v>3.4453057708871664</v>
      </c>
      <c r="V51" s="82">
        <f t="shared" si="16"/>
        <v>3.8759689922480618</v>
      </c>
      <c r="W51" s="82">
        <f t="shared" si="9"/>
        <v>82.472006890611539</v>
      </c>
      <c r="X51" s="27"/>
      <c r="Y51" s="82"/>
      <c r="Z51" s="25"/>
      <c r="AA51" s="82"/>
      <c r="AB51" s="90" t="s">
        <v>127</v>
      </c>
      <c r="AC51" s="90" t="s">
        <v>126</v>
      </c>
      <c r="AD51" s="5" t="s">
        <v>125</v>
      </c>
      <c r="AE51" s="24" t="s">
        <v>124</v>
      </c>
      <c r="AF51" s="28"/>
      <c r="AG51" s="29" t="s">
        <v>95</v>
      </c>
      <c r="AH51" s="2" t="s">
        <v>127</v>
      </c>
      <c r="AI51" s="30" t="s">
        <v>99</v>
      </c>
      <c r="AJ51" s="5">
        <v>5.2999999999999999E-2</v>
      </c>
      <c r="AK51" s="2" t="s">
        <v>502</v>
      </c>
      <c r="AL51" s="3" t="s">
        <v>703</v>
      </c>
      <c r="AM51" s="29" t="s">
        <v>96</v>
      </c>
      <c r="AN51" s="2" t="str">
        <f>AH51</f>
        <v xml:space="preserve"> ,194</v>
      </c>
      <c r="AO51" s="30" t="s">
        <v>99</v>
      </c>
      <c r="AP51" s="5">
        <v>3.4000000000000002E-2</v>
      </c>
      <c r="AQ51" s="2" t="s">
        <v>453</v>
      </c>
      <c r="AR51" s="3" t="s">
        <v>703</v>
      </c>
      <c r="AS51" s="29" t="s">
        <v>114</v>
      </c>
      <c r="AT51" s="2" t="str">
        <f>AN51</f>
        <v xml:space="preserve"> ,194</v>
      </c>
      <c r="AU51" s="30" t="s">
        <v>99</v>
      </c>
      <c r="AV51" s="5">
        <v>0.105</v>
      </c>
      <c r="AW51" s="2" t="s">
        <v>453</v>
      </c>
      <c r="AX51" s="5" t="s">
        <v>703</v>
      </c>
      <c r="AY51" s="29" t="s">
        <v>123</v>
      </c>
      <c r="AZ51" s="2" t="str">
        <f>AT51</f>
        <v xml:space="preserve"> ,194</v>
      </c>
      <c r="BA51" s="30" t="s">
        <v>99</v>
      </c>
      <c r="BB51" s="5">
        <v>4.4999999999999998E-2</v>
      </c>
      <c r="BC51" s="2" t="s">
        <v>453</v>
      </c>
      <c r="BD51" s="3" t="s">
        <v>703</v>
      </c>
      <c r="BE51" s="29"/>
      <c r="BG51" s="30"/>
      <c r="BH51" s="5"/>
      <c r="BJ51" s="46"/>
      <c r="BK51" s="5"/>
    </row>
    <row r="52" spans="2:63" x14ac:dyDescent="0.25">
      <c r="B52" s="105"/>
      <c r="C52" s="35">
        <v>1</v>
      </c>
      <c r="D52" s="35">
        <v>48</v>
      </c>
      <c r="E52" s="35" t="s">
        <v>73</v>
      </c>
      <c r="F52" s="113" t="s">
        <v>411</v>
      </c>
      <c r="G52" s="36">
        <f t="shared" si="12"/>
        <v>2.2970000000000002</v>
      </c>
      <c r="H52" s="54" t="s">
        <v>433</v>
      </c>
      <c r="I52" s="6" t="s">
        <v>433</v>
      </c>
      <c r="J52" s="6">
        <v>9</v>
      </c>
      <c r="K52" s="21">
        <v>32</v>
      </c>
      <c r="L52" s="22">
        <f t="shared" si="3"/>
        <v>41</v>
      </c>
      <c r="M52" s="117">
        <v>0</v>
      </c>
      <c r="N52" s="118">
        <v>0</v>
      </c>
      <c r="O52" s="5">
        <v>0.13300000000000001</v>
      </c>
      <c r="P52" s="5">
        <v>0.112</v>
      </c>
      <c r="Q52" s="90">
        <v>2.052</v>
      </c>
      <c r="R52" s="24"/>
      <c r="S52" s="25">
        <f t="shared" si="13"/>
        <v>0</v>
      </c>
      <c r="T52" s="82">
        <f t="shared" si="14"/>
        <v>0</v>
      </c>
      <c r="U52" s="82">
        <f t="shared" si="15"/>
        <v>5.7901610796691338</v>
      </c>
      <c r="V52" s="82">
        <f t="shared" si="16"/>
        <v>4.8759251197213755</v>
      </c>
      <c r="W52" s="82">
        <f t="shared" si="9"/>
        <v>89.333913800609494</v>
      </c>
      <c r="X52" s="27"/>
      <c r="Y52" s="82"/>
      <c r="Z52" s="25"/>
      <c r="AA52" s="82"/>
      <c r="AB52" s="90"/>
      <c r="AC52" s="90" t="s">
        <v>131</v>
      </c>
      <c r="AD52" s="5" t="s">
        <v>130</v>
      </c>
      <c r="AE52" s="24" t="s">
        <v>129</v>
      </c>
      <c r="AF52" s="28"/>
      <c r="AG52" s="29"/>
      <c r="AI52" s="30"/>
      <c r="AJ52" s="5"/>
      <c r="AM52" s="29"/>
      <c r="AO52" s="30"/>
      <c r="AP52" s="5"/>
      <c r="AQ52" s="2"/>
      <c r="AS52" s="29"/>
      <c r="AU52" s="30"/>
      <c r="AV52" s="5"/>
      <c r="AW52" s="2"/>
      <c r="AY52" s="29"/>
      <c r="BA52" s="30"/>
      <c r="BB52" s="5"/>
      <c r="BC52" s="2"/>
      <c r="BE52" s="29"/>
      <c r="BG52" s="30"/>
      <c r="BH52" s="5"/>
      <c r="BJ52" s="46"/>
      <c r="BK52" s="5"/>
    </row>
    <row r="53" spans="2:63" x14ac:dyDescent="0.25">
      <c r="B53" s="105">
        <v>44666</v>
      </c>
      <c r="C53" s="6">
        <v>1</v>
      </c>
      <c r="D53" s="35">
        <v>49</v>
      </c>
      <c r="E53" s="35" t="s">
        <v>74</v>
      </c>
      <c r="F53" s="113" t="s">
        <v>412</v>
      </c>
      <c r="G53" s="36">
        <f t="shared" si="12"/>
        <v>2.5190000000000001</v>
      </c>
      <c r="H53" s="54" t="s">
        <v>433</v>
      </c>
      <c r="I53" s="6">
        <v>3</v>
      </c>
      <c r="J53" s="6">
        <v>5</v>
      </c>
      <c r="K53" s="21">
        <v>25</v>
      </c>
      <c r="L53" s="22">
        <f t="shared" si="3"/>
        <v>33</v>
      </c>
      <c r="M53" s="117">
        <v>0</v>
      </c>
      <c r="N53" s="5">
        <f>AJ53+AP53+AV53</f>
        <v>0.218</v>
      </c>
      <c r="O53" s="5">
        <v>8.5999999999999993E-2</v>
      </c>
      <c r="P53" s="5">
        <v>9.6000000000000002E-2</v>
      </c>
      <c r="Q53" s="90">
        <v>2.1190000000000002</v>
      </c>
      <c r="R53" s="24"/>
      <c r="S53" s="25">
        <f t="shared" si="13"/>
        <v>0</v>
      </c>
      <c r="T53" s="82">
        <f t="shared" si="14"/>
        <v>8.6542278682016658</v>
      </c>
      <c r="U53" s="82">
        <f t="shared" si="15"/>
        <v>3.4140531957125839</v>
      </c>
      <c r="V53" s="82">
        <f t="shared" si="16"/>
        <v>3.8110361254466056</v>
      </c>
      <c r="W53" s="82">
        <f t="shared" si="9"/>
        <v>84.120682810639153</v>
      </c>
      <c r="X53" s="27"/>
      <c r="Y53" s="82"/>
      <c r="Z53" s="25"/>
      <c r="AA53" s="82"/>
      <c r="AB53" s="90" t="s">
        <v>135</v>
      </c>
      <c r="AC53" s="90" t="s">
        <v>134</v>
      </c>
      <c r="AD53" s="5" t="s">
        <v>133</v>
      </c>
      <c r="AE53" s="24" t="s">
        <v>132</v>
      </c>
      <c r="AF53" s="28"/>
      <c r="AG53" s="29" t="s">
        <v>95</v>
      </c>
      <c r="AH53" s="4" t="str">
        <f>AB53</f>
        <v xml:space="preserve"> ,201</v>
      </c>
      <c r="AI53" s="30" t="s">
        <v>99</v>
      </c>
      <c r="AJ53" s="5">
        <v>7.2999999999999995E-2</v>
      </c>
      <c r="AK53" s="2" t="s">
        <v>453</v>
      </c>
      <c r="AL53" s="3" t="s">
        <v>703</v>
      </c>
      <c r="AM53" s="29" t="s">
        <v>96</v>
      </c>
      <c r="AN53" s="4" t="str">
        <f>AH53</f>
        <v xml:space="preserve"> ,201</v>
      </c>
      <c r="AO53" s="30" t="s">
        <v>99</v>
      </c>
      <c r="AP53" s="5">
        <v>5.8999999999999997E-2</v>
      </c>
      <c r="AQ53" s="2" t="s">
        <v>453</v>
      </c>
      <c r="AR53" s="3" t="s">
        <v>703</v>
      </c>
      <c r="AS53" s="29" t="s">
        <v>114</v>
      </c>
      <c r="AT53" s="4" t="str">
        <f>AN53</f>
        <v xml:space="preserve"> ,201</v>
      </c>
      <c r="AU53" s="30" t="s">
        <v>99</v>
      </c>
      <c r="AV53" s="5">
        <v>8.5999999999999993E-2</v>
      </c>
      <c r="AW53" s="2" t="s">
        <v>453</v>
      </c>
      <c r="AX53" s="5" t="s">
        <v>703</v>
      </c>
      <c r="AY53" s="29"/>
      <c r="BA53" s="30"/>
      <c r="BB53" s="5"/>
      <c r="BC53" s="2"/>
      <c r="BE53" s="29"/>
      <c r="BG53" s="30"/>
      <c r="BH53" s="5"/>
      <c r="BJ53" s="46"/>
      <c r="BK53" s="5"/>
    </row>
    <row r="54" spans="2:63" x14ac:dyDescent="0.25">
      <c r="B54" s="105"/>
      <c r="C54" s="35">
        <v>1</v>
      </c>
      <c r="D54" s="35">
        <v>50</v>
      </c>
      <c r="E54" s="35" t="s">
        <v>75</v>
      </c>
      <c r="F54" s="113" t="s">
        <v>413</v>
      </c>
      <c r="G54" s="36">
        <f t="shared" si="12"/>
        <v>2.34</v>
      </c>
      <c r="H54" s="54" t="s">
        <v>433</v>
      </c>
      <c r="I54" s="6">
        <v>1</v>
      </c>
      <c r="J54" s="6">
        <v>11</v>
      </c>
      <c r="K54" s="21">
        <v>25</v>
      </c>
      <c r="L54" s="22">
        <f t="shared" si="3"/>
        <v>37</v>
      </c>
      <c r="M54" s="117">
        <v>0</v>
      </c>
      <c r="N54" s="5">
        <f>AJ54</f>
        <v>5.5E-2</v>
      </c>
      <c r="O54" s="5">
        <v>0.21</v>
      </c>
      <c r="P54" s="5">
        <v>0.104</v>
      </c>
      <c r="Q54" s="90">
        <v>1.9710000000000001</v>
      </c>
      <c r="R54" s="24"/>
      <c r="S54" s="25">
        <f t="shared" si="13"/>
        <v>0</v>
      </c>
      <c r="T54" s="82">
        <f t="shared" si="14"/>
        <v>2.350427350427351</v>
      </c>
      <c r="U54" s="82">
        <f t="shared" si="15"/>
        <v>8.9743589743589745</v>
      </c>
      <c r="V54" s="82">
        <f t="shared" si="16"/>
        <v>4.4444444444444446</v>
      </c>
      <c r="W54" s="82">
        <f t="shared" si="9"/>
        <v>84.230769230769241</v>
      </c>
      <c r="X54" s="27"/>
      <c r="Y54" s="82"/>
      <c r="Z54" s="25"/>
      <c r="AA54" s="82"/>
      <c r="AB54" s="90" t="s">
        <v>139</v>
      </c>
      <c r="AC54" s="90" t="s">
        <v>138</v>
      </c>
      <c r="AD54" s="5" t="s">
        <v>137</v>
      </c>
      <c r="AE54" s="24" t="s">
        <v>136</v>
      </c>
      <c r="AF54" s="28"/>
      <c r="AG54" s="29" t="s">
        <v>95</v>
      </c>
      <c r="AH54" s="4" t="str">
        <f>AB54</f>
        <v xml:space="preserve"> ,205</v>
      </c>
      <c r="AI54" s="30" t="s">
        <v>99</v>
      </c>
      <c r="AJ54" s="5">
        <v>5.5E-2</v>
      </c>
      <c r="AK54" s="2" t="s">
        <v>453</v>
      </c>
      <c r="AL54" s="3" t="s">
        <v>703</v>
      </c>
      <c r="AM54" s="29"/>
      <c r="AO54" s="30"/>
      <c r="AP54" s="5"/>
      <c r="AQ54" s="2"/>
      <c r="AS54" s="29"/>
      <c r="AU54" s="30"/>
      <c r="AV54" s="5"/>
      <c r="AW54" s="2"/>
      <c r="AY54" s="29"/>
      <c r="BA54" s="30"/>
      <c r="BB54" s="5"/>
      <c r="BC54" s="2"/>
      <c r="BE54" s="29"/>
      <c r="BG54" s="30"/>
      <c r="BH54" s="5"/>
      <c r="BJ54" s="46"/>
      <c r="BK54" s="5"/>
    </row>
    <row r="55" spans="2:63" x14ac:dyDescent="0.25">
      <c r="B55" s="105"/>
      <c r="C55" s="35">
        <v>1</v>
      </c>
      <c r="D55" s="35">
        <v>51</v>
      </c>
      <c r="E55" s="6" t="s">
        <v>76</v>
      </c>
      <c r="F55" s="113" t="s">
        <v>414</v>
      </c>
      <c r="G55" s="36">
        <f t="shared" si="12"/>
        <v>2.097</v>
      </c>
      <c r="H55" s="54" t="s">
        <v>433</v>
      </c>
      <c r="I55" s="6">
        <v>2</v>
      </c>
      <c r="J55" s="6">
        <v>5</v>
      </c>
      <c r="K55" s="21">
        <v>29</v>
      </c>
      <c r="L55" s="22">
        <f t="shared" si="3"/>
        <v>36</v>
      </c>
      <c r="M55" s="117">
        <v>0</v>
      </c>
      <c r="N55" s="5">
        <f>AJ55+AP55</f>
        <v>0.23099999999999998</v>
      </c>
      <c r="O55" s="5">
        <v>6.2E-2</v>
      </c>
      <c r="P55" s="5">
        <v>0.112</v>
      </c>
      <c r="Q55" s="90">
        <v>1.6919999999999999</v>
      </c>
      <c r="R55" s="24"/>
      <c r="S55" s="25">
        <f t="shared" si="13"/>
        <v>0</v>
      </c>
      <c r="T55" s="82">
        <f t="shared" si="14"/>
        <v>11.015736766809727</v>
      </c>
      <c r="U55" s="82">
        <f t="shared" si="15"/>
        <v>2.9566046733428708</v>
      </c>
      <c r="V55" s="82">
        <f t="shared" si="16"/>
        <v>5.3409632808774443</v>
      </c>
      <c r="W55" s="82">
        <f t="shared" si="9"/>
        <v>80.68669527896995</v>
      </c>
      <c r="X55" s="27"/>
      <c r="Y55" s="82"/>
      <c r="Z55" s="25"/>
      <c r="AA55" s="82"/>
      <c r="AB55" s="90" t="s">
        <v>140</v>
      </c>
      <c r="AC55" s="90" t="s">
        <v>142</v>
      </c>
      <c r="AD55" s="5" t="s">
        <v>143</v>
      </c>
      <c r="AE55" s="24" t="s">
        <v>144</v>
      </c>
      <c r="AF55" s="53"/>
      <c r="AG55" s="29" t="s">
        <v>95</v>
      </c>
      <c r="AH55" s="2" t="s">
        <v>140</v>
      </c>
      <c r="AI55" s="30" t="s">
        <v>99</v>
      </c>
      <c r="AJ55" s="5">
        <v>0.121</v>
      </c>
      <c r="AK55" s="2" t="s">
        <v>453</v>
      </c>
      <c r="AL55" s="3" t="s">
        <v>703</v>
      </c>
      <c r="AM55" s="29" t="s">
        <v>96</v>
      </c>
      <c r="AN55" s="2" t="s">
        <v>140</v>
      </c>
      <c r="AO55" s="30" t="s">
        <v>99</v>
      </c>
      <c r="AP55" s="5">
        <v>0.11</v>
      </c>
      <c r="AQ55" s="2" t="s">
        <v>453</v>
      </c>
      <c r="AR55" s="31" t="s">
        <v>703</v>
      </c>
      <c r="AS55" s="29"/>
      <c r="AU55" s="30"/>
      <c r="AV55" s="5"/>
      <c r="AW55" s="2"/>
      <c r="AX55" s="6"/>
      <c r="AY55" s="29"/>
      <c r="BA55" s="30"/>
      <c r="BB55" s="5"/>
      <c r="BC55" s="2"/>
      <c r="BD55" s="31"/>
      <c r="BE55" s="29"/>
      <c r="BG55" s="30"/>
      <c r="BH55" s="5"/>
      <c r="BJ55" s="37"/>
      <c r="BK55" s="5"/>
    </row>
    <row r="56" spans="2:63" x14ac:dyDescent="0.25">
      <c r="B56" s="105"/>
      <c r="C56" s="35">
        <v>1</v>
      </c>
      <c r="D56" s="35">
        <v>52</v>
      </c>
      <c r="E56" s="35" t="s">
        <v>77</v>
      </c>
      <c r="F56" s="113" t="s">
        <v>415</v>
      </c>
      <c r="G56" s="36">
        <f t="shared" si="12"/>
        <v>2.56</v>
      </c>
      <c r="H56" s="54" t="s">
        <v>433</v>
      </c>
      <c r="I56" s="6">
        <v>2</v>
      </c>
      <c r="J56" s="6">
        <v>6</v>
      </c>
      <c r="K56" s="21">
        <v>23</v>
      </c>
      <c r="L56" s="22">
        <f t="shared" si="3"/>
        <v>31</v>
      </c>
      <c r="M56" s="117">
        <v>0</v>
      </c>
      <c r="N56" s="5">
        <f>AJ56+AP56</f>
        <v>0.37</v>
      </c>
      <c r="O56" s="5">
        <v>0.13100000000000001</v>
      </c>
      <c r="P56" s="5">
        <v>8.8999999999999996E-2</v>
      </c>
      <c r="Q56" s="90">
        <v>1.97</v>
      </c>
      <c r="R56" s="24"/>
      <c r="S56" s="25">
        <f t="shared" si="13"/>
        <v>0</v>
      </c>
      <c r="T56" s="82">
        <f t="shared" si="14"/>
        <v>14.453125</v>
      </c>
      <c r="U56" s="82">
        <f t="shared" si="15"/>
        <v>5.1171875</v>
      </c>
      <c r="V56" s="82">
        <f t="shared" si="16"/>
        <v>3.4765624999999996</v>
      </c>
      <c r="W56" s="82">
        <f t="shared" si="9"/>
        <v>76.953125</v>
      </c>
      <c r="X56" s="27"/>
      <c r="Y56" s="82"/>
      <c r="Z56" s="25"/>
      <c r="AA56" s="82"/>
      <c r="AB56" s="90" t="s">
        <v>148</v>
      </c>
      <c r="AC56" s="90" t="s">
        <v>147</v>
      </c>
      <c r="AD56" s="5" t="s">
        <v>146</v>
      </c>
      <c r="AE56" s="24" t="s">
        <v>145</v>
      </c>
      <c r="AF56" s="28"/>
      <c r="AG56" s="29" t="s">
        <v>95</v>
      </c>
      <c r="AH56" s="4" t="str">
        <f>AB56</f>
        <v xml:space="preserve"> ,213</v>
      </c>
      <c r="AI56" s="30" t="s">
        <v>99</v>
      </c>
      <c r="AJ56" s="5">
        <v>0.26400000000000001</v>
      </c>
      <c r="AK56" s="2" t="s">
        <v>453</v>
      </c>
      <c r="AL56" s="3" t="s">
        <v>703</v>
      </c>
      <c r="AM56" s="29" t="s">
        <v>96</v>
      </c>
      <c r="AN56" s="4" t="str">
        <f>AH56</f>
        <v xml:space="preserve"> ,213</v>
      </c>
      <c r="AO56" s="30" t="s">
        <v>99</v>
      </c>
      <c r="AP56" s="5">
        <v>0.106</v>
      </c>
      <c r="AQ56" s="2" t="s">
        <v>453</v>
      </c>
      <c r="AR56" s="3" t="s">
        <v>703</v>
      </c>
      <c r="AS56" s="29"/>
      <c r="AU56" s="30"/>
      <c r="AV56" s="5"/>
      <c r="AW56" s="2"/>
      <c r="AY56" s="29"/>
      <c r="BA56" s="30"/>
      <c r="BB56" s="5"/>
      <c r="BC56" s="2"/>
      <c r="BE56" s="29"/>
      <c r="BG56" s="30"/>
      <c r="BH56" s="5"/>
      <c r="BJ56" s="46"/>
      <c r="BK56" s="5"/>
    </row>
    <row r="57" spans="2:63" x14ac:dyDescent="0.25">
      <c r="B57" s="105"/>
      <c r="C57" s="6">
        <v>1</v>
      </c>
      <c r="D57" s="6">
        <v>53</v>
      </c>
      <c r="E57" s="35" t="s">
        <v>78</v>
      </c>
      <c r="F57" s="115" t="s">
        <v>416</v>
      </c>
      <c r="G57" s="36">
        <f t="shared" si="12"/>
        <v>2.6669999999999998</v>
      </c>
      <c r="H57" s="54" t="s">
        <v>433</v>
      </c>
      <c r="I57" s="6">
        <v>3</v>
      </c>
      <c r="J57" s="6">
        <v>5</v>
      </c>
      <c r="K57" s="21">
        <v>21</v>
      </c>
      <c r="L57" s="22">
        <f t="shared" si="3"/>
        <v>29</v>
      </c>
      <c r="M57" s="117">
        <v>0</v>
      </c>
      <c r="N57" s="5">
        <f>AJ57+AP57+AV57</f>
        <v>0.621</v>
      </c>
      <c r="O57" s="5">
        <v>8.2000000000000003E-2</v>
      </c>
      <c r="P57" s="5">
        <v>8.3000000000000004E-2</v>
      </c>
      <c r="Q57" s="90">
        <v>1.881</v>
      </c>
      <c r="R57" s="24"/>
      <c r="S57" s="25">
        <f t="shared" si="13"/>
        <v>0</v>
      </c>
      <c r="T57" s="82">
        <f t="shared" si="14"/>
        <v>23.284589426321713</v>
      </c>
      <c r="U57" s="82">
        <f t="shared" si="15"/>
        <v>3.0746156730408702</v>
      </c>
      <c r="V57" s="82">
        <f t="shared" si="16"/>
        <v>3.1121109861267349</v>
      </c>
      <c r="W57" s="82">
        <f t="shared" si="9"/>
        <v>70.528683914510694</v>
      </c>
      <c r="X57" s="27"/>
      <c r="Y57" s="82"/>
      <c r="Z57" s="25"/>
      <c r="AA57" s="82"/>
      <c r="AB57" s="90" t="s">
        <v>152</v>
      </c>
      <c r="AC57" s="90" t="s">
        <v>151</v>
      </c>
      <c r="AD57" s="5" t="s">
        <v>150</v>
      </c>
      <c r="AE57" s="24" t="s">
        <v>149</v>
      </c>
      <c r="AF57" s="53"/>
      <c r="AG57" s="29" t="s">
        <v>95</v>
      </c>
      <c r="AH57" s="4" t="str">
        <f>AB57</f>
        <v xml:space="preserve"> ,217</v>
      </c>
      <c r="AI57" s="30" t="s">
        <v>99</v>
      </c>
      <c r="AJ57" s="5">
        <f>0.198</f>
        <v>0.19800000000000001</v>
      </c>
      <c r="AK57" s="2" t="s">
        <v>453</v>
      </c>
      <c r="AL57" s="3" t="s">
        <v>703</v>
      </c>
      <c r="AM57" s="29" t="s">
        <v>96</v>
      </c>
      <c r="AN57" s="4" t="str">
        <f>AH57</f>
        <v xml:space="preserve"> ,217</v>
      </c>
      <c r="AO57" s="30" t="s">
        <v>99</v>
      </c>
      <c r="AP57" s="5">
        <v>0.28399999999999997</v>
      </c>
      <c r="AQ57" s="2" t="s">
        <v>453</v>
      </c>
      <c r="AR57" s="31" t="s">
        <v>703</v>
      </c>
      <c r="AS57" s="29" t="s">
        <v>114</v>
      </c>
      <c r="AT57" s="4" t="str">
        <f>AH57</f>
        <v xml:space="preserve"> ,217</v>
      </c>
      <c r="AU57" s="30" t="s">
        <v>99</v>
      </c>
      <c r="AV57" s="5">
        <v>0.13900000000000001</v>
      </c>
      <c r="AW57" s="2" t="s">
        <v>453</v>
      </c>
      <c r="AX57" s="6" t="s">
        <v>703</v>
      </c>
      <c r="AY57" s="29"/>
      <c r="BA57" s="30"/>
      <c r="BB57" s="5"/>
      <c r="BC57" s="2"/>
      <c r="BD57" s="31"/>
      <c r="BE57" s="29"/>
      <c r="BG57" s="30"/>
      <c r="BH57" s="5"/>
      <c r="BJ57" s="37"/>
      <c r="BK57" s="5"/>
    </row>
    <row r="58" spans="2:63" x14ac:dyDescent="0.25">
      <c r="B58" s="105">
        <v>44669</v>
      </c>
      <c r="C58" s="35">
        <v>1</v>
      </c>
      <c r="D58" s="35">
        <v>54</v>
      </c>
      <c r="E58" s="35" t="s">
        <v>79</v>
      </c>
      <c r="F58" s="113" t="s">
        <v>417</v>
      </c>
      <c r="G58" s="36">
        <f t="shared" si="12"/>
        <v>2.141</v>
      </c>
      <c r="H58" s="54" t="s">
        <v>433</v>
      </c>
      <c r="I58" s="6">
        <v>1</v>
      </c>
      <c r="J58" s="6">
        <v>6</v>
      </c>
      <c r="K58" s="21">
        <v>28</v>
      </c>
      <c r="L58" s="22">
        <f t="shared" si="3"/>
        <v>35</v>
      </c>
      <c r="M58" s="117">
        <v>0</v>
      </c>
      <c r="N58" s="5">
        <v>8.5999999999999993E-2</v>
      </c>
      <c r="O58" s="5">
        <v>0.16800000000000001</v>
      </c>
      <c r="P58" s="5">
        <v>0.11799999999999999</v>
      </c>
      <c r="Q58" s="90">
        <v>1.7689999999999999</v>
      </c>
      <c r="R58" s="24"/>
      <c r="S58" s="25">
        <f t="shared" si="13"/>
        <v>0</v>
      </c>
      <c r="T58" s="82">
        <f t="shared" si="14"/>
        <v>4.0168145726296123</v>
      </c>
      <c r="U58" s="82">
        <f t="shared" si="15"/>
        <v>7.8468005604857547</v>
      </c>
      <c r="V58" s="82">
        <f t="shared" si="16"/>
        <v>5.5114432508173747</v>
      </c>
      <c r="W58" s="82">
        <f t="shared" si="9"/>
        <v>82.624941616067247</v>
      </c>
      <c r="X58" s="27"/>
      <c r="Y58" s="82"/>
      <c r="Z58" s="25"/>
      <c r="AA58" s="82"/>
      <c r="AB58" s="90" t="s">
        <v>156</v>
      </c>
      <c r="AC58" s="90" t="s">
        <v>155</v>
      </c>
      <c r="AD58" s="5" t="s">
        <v>154</v>
      </c>
      <c r="AE58" s="24" t="s">
        <v>153</v>
      </c>
      <c r="AF58" s="53"/>
      <c r="AG58" s="29" t="s">
        <v>95</v>
      </c>
      <c r="AH58" s="2" t="str">
        <f>AB58</f>
        <v xml:space="preserve"> ,221</v>
      </c>
      <c r="AI58" s="30" t="s">
        <v>99</v>
      </c>
      <c r="AJ58" s="5">
        <v>8.5999999999999993E-2</v>
      </c>
      <c r="AK58" s="2" t="s">
        <v>453</v>
      </c>
      <c r="AL58" s="3" t="s">
        <v>703</v>
      </c>
      <c r="AM58" s="29"/>
      <c r="AO58" s="30"/>
      <c r="AP58" s="5"/>
      <c r="AQ58" s="2"/>
      <c r="AR58" s="31"/>
      <c r="AS58" s="29"/>
      <c r="AU58" s="30"/>
      <c r="AV58" s="5"/>
      <c r="AW58" s="2"/>
      <c r="AX58" s="6"/>
      <c r="AY58" s="29"/>
      <c r="BA58" s="30"/>
      <c r="BB58" s="5"/>
      <c r="BC58" s="2"/>
      <c r="BD58" s="31"/>
      <c r="BE58" s="29"/>
      <c r="BG58" s="30"/>
      <c r="BH58" s="5"/>
      <c r="BJ58" s="37"/>
      <c r="BK58" s="5"/>
    </row>
    <row r="59" spans="2:63" x14ac:dyDescent="0.25">
      <c r="B59" s="105"/>
      <c r="C59" s="35">
        <v>1</v>
      </c>
      <c r="D59" s="35">
        <v>55</v>
      </c>
      <c r="E59" s="35" t="s">
        <v>80</v>
      </c>
      <c r="F59" s="113" t="s">
        <v>418</v>
      </c>
      <c r="G59" s="36">
        <f>SUM(M59:R59)</f>
        <v>2.5940000000000003</v>
      </c>
      <c r="H59" s="54">
        <v>1</v>
      </c>
      <c r="I59" s="6">
        <v>1</v>
      </c>
      <c r="J59" s="6">
        <v>3</v>
      </c>
      <c r="K59" s="21">
        <v>17</v>
      </c>
      <c r="L59" s="22">
        <f t="shared" si="3"/>
        <v>22</v>
      </c>
      <c r="M59" s="23">
        <f>AJ59</f>
        <v>0.53800000000000003</v>
      </c>
      <c r="N59" s="5">
        <v>7.5999999999999998E-2</v>
      </c>
      <c r="O59" s="5">
        <v>5.1999999999999998E-2</v>
      </c>
      <c r="P59" s="5">
        <v>5.7000000000000002E-2</v>
      </c>
      <c r="Q59" s="90">
        <v>1.7110000000000001</v>
      </c>
      <c r="R59" s="93">
        <v>0.16</v>
      </c>
      <c r="S59" s="25">
        <f t="shared" si="13"/>
        <v>20.740169622205087</v>
      </c>
      <c r="T59" s="82">
        <f t="shared" si="14"/>
        <v>2.929838087895142</v>
      </c>
      <c r="U59" s="82">
        <f t="shared" si="15"/>
        <v>2.0046260601387815</v>
      </c>
      <c r="V59" s="82">
        <f t="shared" si="16"/>
        <v>2.1973785659213569</v>
      </c>
      <c r="W59" s="82">
        <f t="shared" si="9"/>
        <v>65.95990747879722</v>
      </c>
      <c r="X59" s="27">
        <f t="shared" si="9"/>
        <v>6.1680801850424052</v>
      </c>
      <c r="Y59" s="82"/>
      <c r="Z59" s="25" t="s">
        <v>163</v>
      </c>
      <c r="AA59" s="82" t="s">
        <v>161</v>
      </c>
      <c r="AB59" s="90" t="s">
        <v>160</v>
      </c>
      <c r="AC59" s="90" t="s">
        <v>159</v>
      </c>
      <c r="AD59" s="5" t="s">
        <v>158</v>
      </c>
      <c r="AE59" s="24" t="s">
        <v>157</v>
      </c>
      <c r="AF59" s="53"/>
      <c r="AG59" s="116" t="s">
        <v>164</v>
      </c>
      <c r="AH59" s="2" t="s">
        <v>161</v>
      </c>
      <c r="AI59" s="72" t="s">
        <v>112</v>
      </c>
      <c r="AJ59" s="5">
        <v>0.53800000000000003</v>
      </c>
      <c r="AK59" s="2" t="s">
        <v>453</v>
      </c>
      <c r="AL59" s="3" t="s">
        <v>703</v>
      </c>
      <c r="AM59" s="29" t="s">
        <v>95</v>
      </c>
      <c r="AN59" s="2" t="s">
        <v>160</v>
      </c>
      <c r="AO59" s="30" t="s">
        <v>99</v>
      </c>
      <c r="AP59" s="5">
        <v>7.5999999999999998E-2</v>
      </c>
      <c r="AQ59" s="2" t="s">
        <v>453</v>
      </c>
      <c r="AR59" s="31" t="s">
        <v>703</v>
      </c>
      <c r="AS59" s="29"/>
      <c r="AU59" s="30"/>
      <c r="AV59" s="5"/>
      <c r="AW59" s="2"/>
      <c r="AX59" s="6"/>
      <c r="AY59" s="29"/>
      <c r="BA59" s="30"/>
      <c r="BB59" s="5"/>
      <c r="BC59" s="2"/>
      <c r="BD59" s="31"/>
      <c r="BE59" s="29"/>
      <c r="BG59" s="30"/>
      <c r="BH59" s="5"/>
      <c r="BJ59" s="37"/>
      <c r="BK59" s="5"/>
    </row>
    <row r="60" spans="2:63" x14ac:dyDescent="0.25">
      <c r="B60" s="105"/>
      <c r="C60" s="35">
        <v>1</v>
      </c>
      <c r="D60" s="35">
        <v>56</v>
      </c>
      <c r="E60" s="35" t="s">
        <v>81</v>
      </c>
      <c r="F60" s="113" t="s">
        <v>419</v>
      </c>
      <c r="G60" s="36">
        <f t="shared" ref="G60:G71" si="17">SUM(M60:Q60)</f>
        <v>2.774</v>
      </c>
      <c r="H60" s="54" t="s">
        <v>434</v>
      </c>
      <c r="I60" s="6">
        <v>2</v>
      </c>
      <c r="J60" s="6">
        <v>8</v>
      </c>
      <c r="K60" s="21">
        <v>26</v>
      </c>
      <c r="L60" s="22">
        <f t="shared" si="3"/>
        <v>36</v>
      </c>
      <c r="M60" s="117">
        <v>0</v>
      </c>
      <c r="N60" s="5">
        <f>AJ60+AP60</f>
        <v>0.30200000000000005</v>
      </c>
      <c r="O60" s="5">
        <v>7.2999999999999995E-2</v>
      </c>
      <c r="P60" s="5">
        <v>0.109</v>
      </c>
      <c r="Q60" s="90">
        <v>2.29</v>
      </c>
      <c r="R60" s="93"/>
      <c r="S60" s="25">
        <f t="shared" si="13"/>
        <v>0</v>
      </c>
      <c r="T60" s="82">
        <f t="shared" si="14"/>
        <v>10.886806056236484</v>
      </c>
      <c r="U60" s="82">
        <f t="shared" si="15"/>
        <v>2.6315789473684208</v>
      </c>
      <c r="V60" s="82">
        <f t="shared" si="16"/>
        <v>3.9293439077144914</v>
      </c>
      <c r="W60" s="82">
        <f t="shared" si="9"/>
        <v>82.552271088680612</v>
      </c>
      <c r="X60" s="27"/>
      <c r="Y60" s="82"/>
      <c r="Z60" s="25"/>
      <c r="AA60" s="82"/>
      <c r="AB60" s="90" t="s">
        <v>168</v>
      </c>
      <c r="AC60" s="90" t="s">
        <v>167</v>
      </c>
      <c r="AD60" s="5" t="s">
        <v>166</v>
      </c>
      <c r="AE60" s="24" t="s">
        <v>165</v>
      </c>
      <c r="AF60" s="53"/>
      <c r="AG60" s="29" t="s">
        <v>95</v>
      </c>
      <c r="AH60" s="4" t="str">
        <f>AB60</f>
        <v xml:space="preserve"> ,231</v>
      </c>
      <c r="AI60" s="30" t="s">
        <v>99</v>
      </c>
      <c r="AJ60" s="5">
        <v>0.28100000000000003</v>
      </c>
      <c r="AK60" s="2" t="s">
        <v>453</v>
      </c>
      <c r="AL60" s="3" t="s">
        <v>703</v>
      </c>
      <c r="AM60" s="94" t="s">
        <v>96</v>
      </c>
      <c r="AN60" s="4" t="str">
        <f>AH60</f>
        <v xml:space="preserve"> ,231</v>
      </c>
      <c r="AO60" s="30" t="s">
        <v>99</v>
      </c>
      <c r="AP60" s="5">
        <v>2.1000000000000001E-2</v>
      </c>
      <c r="AQ60" s="2" t="s">
        <v>453</v>
      </c>
      <c r="AR60" s="31" t="s">
        <v>703</v>
      </c>
      <c r="AS60" s="29"/>
      <c r="AU60" s="30"/>
      <c r="AV60" s="5"/>
      <c r="AW60" s="2"/>
      <c r="AX60" s="6"/>
      <c r="AY60" s="29"/>
      <c r="BA60" s="30"/>
      <c r="BB60" s="5"/>
      <c r="BC60" s="2"/>
      <c r="BD60" s="31"/>
      <c r="BE60" s="29"/>
      <c r="BG60" s="30"/>
      <c r="BH60" s="5"/>
      <c r="BJ60" s="37"/>
      <c r="BK60" s="5"/>
    </row>
    <row r="61" spans="2:63" x14ac:dyDescent="0.25">
      <c r="B61" s="109"/>
      <c r="C61" s="35">
        <v>1</v>
      </c>
      <c r="D61" s="35">
        <v>57</v>
      </c>
      <c r="E61" s="35" t="s">
        <v>82</v>
      </c>
      <c r="F61" s="113" t="s">
        <v>420</v>
      </c>
      <c r="G61" s="36">
        <f t="shared" si="17"/>
        <v>2.6919999999999997</v>
      </c>
      <c r="H61" s="54">
        <v>1</v>
      </c>
      <c r="I61" s="6">
        <v>1</v>
      </c>
      <c r="J61" s="6">
        <v>12</v>
      </c>
      <c r="K61" s="21">
        <v>33</v>
      </c>
      <c r="L61" s="22">
        <f t="shared" si="3"/>
        <v>47</v>
      </c>
      <c r="M61" s="117">
        <v>0</v>
      </c>
      <c r="N61" s="5">
        <f>AJ61</f>
        <v>5.6000000000000001E-2</v>
      </c>
      <c r="O61" s="5">
        <v>0.18099999999999999</v>
      </c>
      <c r="P61" s="5">
        <v>0.11899999999999999</v>
      </c>
      <c r="Q61" s="90">
        <v>2.3359999999999999</v>
      </c>
      <c r="R61" s="24"/>
      <c r="S61" s="25">
        <f t="shared" si="13"/>
        <v>0</v>
      </c>
      <c r="T61" s="82">
        <f t="shared" si="14"/>
        <v>2.0802377414561666</v>
      </c>
      <c r="U61" s="82">
        <f t="shared" si="15"/>
        <v>6.7236255572065389</v>
      </c>
      <c r="V61" s="82">
        <f t="shared" si="16"/>
        <v>4.4205052005943539</v>
      </c>
      <c r="W61" s="82">
        <f t="shared" si="9"/>
        <v>86.775631500742946</v>
      </c>
      <c r="X61" s="27"/>
      <c r="Y61" s="82"/>
      <c r="Z61" s="25"/>
      <c r="AA61" s="82"/>
      <c r="AB61" s="90" t="s">
        <v>172</v>
      </c>
      <c r="AC61" s="90" t="s">
        <v>171</v>
      </c>
      <c r="AD61" s="5" t="s">
        <v>170</v>
      </c>
      <c r="AE61" s="24" t="s">
        <v>169</v>
      </c>
      <c r="AF61" s="53"/>
      <c r="AG61" s="29" t="s">
        <v>95</v>
      </c>
      <c r="AH61" s="2" t="str">
        <f>AB61</f>
        <v xml:space="preserve"> ,235</v>
      </c>
      <c r="AI61" s="30" t="s">
        <v>99</v>
      </c>
      <c r="AJ61" s="5">
        <v>5.6000000000000001E-2</v>
      </c>
      <c r="AK61" s="2" t="s">
        <v>453</v>
      </c>
      <c r="AL61" s="3" t="s">
        <v>703</v>
      </c>
      <c r="AM61" s="29"/>
      <c r="AO61" s="30"/>
      <c r="AP61" s="5"/>
      <c r="AQ61" s="2"/>
      <c r="AR61" s="31"/>
      <c r="AS61" s="29"/>
      <c r="AU61" s="30"/>
      <c r="AV61" s="5"/>
      <c r="AW61" s="2"/>
      <c r="AX61" s="6"/>
      <c r="AY61" s="29"/>
      <c r="BA61" s="30"/>
      <c r="BB61" s="5"/>
      <c r="BC61" s="2"/>
      <c r="BD61" s="31"/>
      <c r="BE61" s="29"/>
      <c r="BG61" s="30"/>
      <c r="BH61" s="5"/>
      <c r="BJ61" s="37"/>
      <c r="BK61" s="5"/>
    </row>
    <row r="62" spans="2:63" x14ac:dyDescent="0.25">
      <c r="B62" s="105">
        <v>44670</v>
      </c>
      <c r="C62" s="35">
        <v>1</v>
      </c>
      <c r="D62" s="35">
        <v>58</v>
      </c>
      <c r="E62" s="35" t="s">
        <v>83</v>
      </c>
      <c r="F62" s="113" t="s">
        <v>421</v>
      </c>
      <c r="G62" s="36">
        <f t="shared" si="17"/>
        <v>2.5649999999999999</v>
      </c>
      <c r="H62" s="54" t="s">
        <v>433</v>
      </c>
      <c r="I62" s="6">
        <v>1</v>
      </c>
      <c r="J62" s="6">
        <v>8</v>
      </c>
      <c r="K62" s="21">
        <v>26</v>
      </c>
      <c r="L62" s="22">
        <f t="shared" si="3"/>
        <v>35</v>
      </c>
      <c r="M62" s="117">
        <v>0</v>
      </c>
      <c r="N62" s="5">
        <f>AJ62</f>
        <v>3.4000000000000002E-2</v>
      </c>
      <c r="O62" s="5">
        <v>0.13800000000000001</v>
      </c>
      <c r="P62" s="5">
        <v>0.11899999999999999</v>
      </c>
      <c r="Q62" s="90">
        <v>2.274</v>
      </c>
      <c r="R62" s="24"/>
      <c r="S62" s="25">
        <f t="shared" si="13"/>
        <v>0</v>
      </c>
      <c r="T62" s="82">
        <f t="shared" si="14"/>
        <v>1.3255360623781678</v>
      </c>
      <c r="U62" s="82">
        <f t="shared" si="15"/>
        <v>5.3801169590643276</v>
      </c>
      <c r="V62" s="82">
        <f t="shared" si="16"/>
        <v>4.6393762183235872</v>
      </c>
      <c r="W62" s="82">
        <f t="shared" si="9"/>
        <v>88.654970760233923</v>
      </c>
      <c r="X62" s="27"/>
      <c r="Y62" s="82"/>
      <c r="Z62" s="25"/>
      <c r="AA62" s="82"/>
      <c r="AB62" s="90" t="s">
        <v>173</v>
      </c>
      <c r="AC62" s="90" t="s">
        <v>174</v>
      </c>
      <c r="AD62" s="5" t="s">
        <v>175</v>
      </c>
      <c r="AE62" s="24" t="s">
        <v>176</v>
      </c>
      <c r="AF62" s="28"/>
      <c r="AG62" s="29" t="s">
        <v>95</v>
      </c>
      <c r="AH62" s="2" t="str">
        <f>AB62</f>
        <v xml:space="preserve"> ,239</v>
      </c>
      <c r="AI62" s="30" t="s">
        <v>99</v>
      </c>
      <c r="AJ62" s="5">
        <v>3.4000000000000002E-2</v>
      </c>
      <c r="AK62" s="2" t="s">
        <v>453</v>
      </c>
      <c r="AL62" s="3" t="s">
        <v>703</v>
      </c>
      <c r="AM62" s="29"/>
      <c r="AO62" s="30"/>
      <c r="AP62" s="5"/>
      <c r="AQ62" s="2"/>
      <c r="AS62" s="29"/>
      <c r="AU62" s="30"/>
      <c r="AV62" s="5"/>
      <c r="AW62" s="2"/>
      <c r="AY62" s="29"/>
      <c r="BA62" s="30"/>
      <c r="BB62" s="5"/>
      <c r="BC62" s="2"/>
      <c r="BE62" s="29"/>
      <c r="BG62" s="30"/>
      <c r="BH62" s="5"/>
      <c r="BJ62" s="46"/>
      <c r="BK62" s="5"/>
    </row>
    <row r="63" spans="2:63" x14ac:dyDescent="0.25">
      <c r="B63" s="105">
        <v>44672</v>
      </c>
      <c r="C63" s="6">
        <v>1</v>
      </c>
      <c r="D63" s="35">
        <v>59</v>
      </c>
      <c r="E63" s="35" t="s">
        <v>84</v>
      </c>
      <c r="F63" s="113" t="s">
        <v>422</v>
      </c>
      <c r="G63" s="36">
        <f t="shared" si="17"/>
        <v>2.7030000000000003</v>
      </c>
      <c r="H63" s="54" t="s">
        <v>433</v>
      </c>
      <c r="I63" s="6" t="s">
        <v>433</v>
      </c>
      <c r="J63" s="6">
        <v>7</v>
      </c>
      <c r="K63" s="21">
        <v>42</v>
      </c>
      <c r="L63" s="22">
        <f t="shared" si="3"/>
        <v>49</v>
      </c>
      <c r="M63" s="117">
        <v>0</v>
      </c>
      <c r="N63" s="118">
        <v>0</v>
      </c>
      <c r="O63" s="5">
        <v>0.161</v>
      </c>
      <c r="P63" s="5">
        <v>0.152</v>
      </c>
      <c r="Q63" s="90">
        <v>2.39</v>
      </c>
      <c r="R63" s="24"/>
      <c r="S63" s="25">
        <f t="shared" si="13"/>
        <v>0</v>
      </c>
      <c r="T63" s="82">
        <f t="shared" si="14"/>
        <v>0</v>
      </c>
      <c r="U63" s="82">
        <f t="shared" si="15"/>
        <v>5.9563448020717713</v>
      </c>
      <c r="V63" s="82">
        <f t="shared" si="16"/>
        <v>5.6233814280429142</v>
      </c>
      <c r="W63" s="82">
        <f t="shared" si="9"/>
        <v>88.420273769885299</v>
      </c>
      <c r="X63" s="27"/>
      <c r="Y63" s="82"/>
      <c r="Z63" s="25"/>
      <c r="AA63" s="82"/>
      <c r="AB63" s="90"/>
      <c r="AC63" s="90" t="s">
        <v>179</v>
      </c>
      <c r="AD63" s="5" t="s">
        <v>178</v>
      </c>
      <c r="AE63" s="24" t="s">
        <v>177</v>
      </c>
      <c r="AF63" s="28"/>
      <c r="AG63" s="29"/>
      <c r="AI63" s="30"/>
      <c r="AJ63" s="5"/>
      <c r="AM63" s="29"/>
      <c r="AO63" s="30"/>
      <c r="AP63" s="5"/>
      <c r="AQ63" s="2"/>
      <c r="AS63" s="29"/>
      <c r="AU63" s="30"/>
      <c r="AV63" s="5"/>
      <c r="AW63" s="2"/>
      <c r="AY63" s="29"/>
      <c r="BA63" s="30"/>
      <c r="BB63" s="5"/>
      <c r="BC63" s="2"/>
      <c r="BE63" s="29"/>
      <c r="BG63" s="30"/>
      <c r="BH63" s="5"/>
      <c r="BJ63" s="46"/>
      <c r="BK63" s="5"/>
    </row>
    <row r="64" spans="2:63" x14ac:dyDescent="0.25">
      <c r="B64" s="105"/>
      <c r="C64" s="35">
        <v>1</v>
      </c>
      <c r="D64" s="35">
        <v>60</v>
      </c>
      <c r="E64" s="35" t="s">
        <v>85</v>
      </c>
      <c r="F64" s="115" t="s">
        <v>423</v>
      </c>
      <c r="G64" s="36">
        <f t="shared" si="17"/>
        <v>2.4359999999999999</v>
      </c>
      <c r="H64" s="54" t="s">
        <v>433</v>
      </c>
      <c r="I64" s="6">
        <v>1</v>
      </c>
      <c r="J64" s="6">
        <v>6</v>
      </c>
      <c r="K64" s="21">
        <v>36</v>
      </c>
      <c r="L64" s="22">
        <f t="shared" si="3"/>
        <v>43</v>
      </c>
      <c r="M64" s="117">
        <v>0</v>
      </c>
      <c r="N64" s="5">
        <f>AJ64</f>
        <v>4.3999999999999997E-2</v>
      </c>
      <c r="O64" s="5">
        <v>0.13400000000000001</v>
      </c>
      <c r="P64" s="5">
        <v>0.14099999999999999</v>
      </c>
      <c r="Q64" s="90">
        <v>2.117</v>
      </c>
      <c r="R64" s="24"/>
      <c r="S64" s="25">
        <f t="shared" si="13"/>
        <v>0</v>
      </c>
      <c r="T64" s="82">
        <f t="shared" si="14"/>
        <v>1.8062397372742198</v>
      </c>
      <c r="U64" s="82">
        <f t="shared" si="15"/>
        <v>5.500821018062398</v>
      </c>
      <c r="V64" s="82">
        <f t="shared" si="16"/>
        <v>5.7881773399014778</v>
      </c>
      <c r="W64" s="82">
        <f t="shared" si="9"/>
        <v>86.904761904761912</v>
      </c>
      <c r="X64" s="27"/>
      <c r="Y64" s="82"/>
      <c r="Z64" s="25"/>
      <c r="AA64" s="82"/>
      <c r="AB64" s="90" t="s">
        <v>183</v>
      </c>
      <c r="AC64" s="90" t="s">
        <v>182</v>
      </c>
      <c r="AD64" s="5" t="s">
        <v>181</v>
      </c>
      <c r="AE64" s="24" t="s">
        <v>180</v>
      </c>
      <c r="AF64" s="53"/>
      <c r="AG64" s="29" t="s">
        <v>95</v>
      </c>
      <c r="AH64" s="4" t="str">
        <f>AB64</f>
        <v xml:space="preserve"> ,246</v>
      </c>
      <c r="AI64" s="30" t="s">
        <v>99</v>
      </c>
      <c r="AJ64" s="5">
        <f>0.044</f>
        <v>4.3999999999999997E-2</v>
      </c>
      <c r="AK64" s="2" t="s">
        <v>453</v>
      </c>
      <c r="AL64" s="3" t="s">
        <v>703</v>
      </c>
      <c r="AM64" s="29"/>
      <c r="AO64" s="30"/>
      <c r="AP64" s="5"/>
      <c r="AQ64" s="2"/>
      <c r="AR64" s="31"/>
      <c r="AS64" s="29"/>
      <c r="AU64" s="30"/>
      <c r="AV64" s="5"/>
      <c r="AW64" s="2"/>
      <c r="AX64" s="6"/>
      <c r="AY64" s="29"/>
      <c r="BA64" s="30"/>
      <c r="BB64" s="5"/>
      <c r="BC64" s="2"/>
      <c r="BD64" s="31"/>
      <c r="BE64" s="29"/>
      <c r="BG64" s="30"/>
      <c r="BH64" s="5"/>
      <c r="BJ64" s="37"/>
      <c r="BK64" s="5"/>
    </row>
    <row r="65" spans="2:63" x14ac:dyDescent="0.25">
      <c r="B65" s="105"/>
      <c r="C65" s="35">
        <v>1</v>
      </c>
      <c r="D65" s="35">
        <v>61</v>
      </c>
      <c r="E65" s="35" t="s">
        <v>86</v>
      </c>
      <c r="F65" s="113" t="s">
        <v>424</v>
      </c>
      <c r="G65" s="36">
        <f t="shared" si="17"/>
        <v>2.3149999999999999</v>
      </c>
      <c r="H65" s="54" t="s">
        <v>433</v>
      </c>
      <c r="I65" s="6" t="s">
        <v>433</v>
      </c>
      <c r="J65" s="6">
        <v>6</v>
      </c>
      <c r="K65" s="21">
        <v>44</v>
      </c>
      <c r="L65" s="22">
        <f t="shared" si="3"/>
        <v>50</v>
      </c>
      <c r="M65" s="117">
        <v>0</v>
      </c>
      <c r="N65" s="118">
        <v>0</v>
      </c>
      <c r="O65" s="5">
        <v>0.09</v>
      </c>
      <c r="P65" s="5">
        <v>0.14699999999999999</v>
      </c>
      <c r="Q65" s="90">
        <v>2.0779999999999998</v>
      </c>
      <c r="R65" s="24"/>
      <c r="S65" s="25">
        <f t="shared" si="13"/>
        <v>0</v>
      </c>
      <c r="T65" s="82">
        <f t="shared" si="14"/>
        <v>0</v>
      </c>
      <c r="U65" s="82">
        <f t="shared" si="15"/>
        <v>3.8876889848812093</v>
      </c>
      <c r="V65" s="82">
        <f t="shared" si="16"/>
        <v>6.3498920086393085</v>
      </c>
      <c r="W65" s="82">
        <f t="shared" si="9"/>
        <v>89.762419006479476</v>
      </c>
      <c r="X65" s="27"/>
      <c r="Y65" s="82"/>
      <c r="Z65" s="25"/>
      <c r="AA65" s="82"/>
      <c r="AB65" s="90"/>
      <c r="AC65" s="90" t="s">
        <v>186</v>
      </c>
      <c r="AD65" s="5" t="s">
        <v>185</v>
      </c>
      <c r="AE65" s="24" t="s">
        <v>184</v>
      </c>
      <c r="AF65" s="28"/>
      <c r="AG65" s="29"/>
      <c r="AI65" s="30"/>
      <c r="AJ65" s="5"/>
      <c r="AM65" s="29"/>
      <c r="AO65" s="30"/>
      <c r="AP65" s="5"/>
      <c r="AQ65" s="2"/>
      <c r="AS65" s="29"/>
      <c r="AU65" s="30"/>
      <c r="AV65" s="5"/>
      <c r="AW65" s="2"/>
      <c r="AY65" s="29"/>
      <c r="BA65" s="30"/>
      <c r="BB65" s="5"/>
      <c r="BC65" s="2"/>
      <c r="BE65" s="29"/>
      <c r="BG65" s="30"/>
      <c r="BH65" s="5"/>
      <c r="BJ65" s="46"/>
      <c r="BK65" s="5"/>
    </row>
    <row r="66" spans="2:63" x14ac:dyDescent="0.25">
      <c r="B66" s="105">
        <v>44676</v>
      </c>
      <c r="C66" s="35">
        <v>1</v>
      </c>
      <c r="D66" s="35">
        <v>62</v>
      </c>
      <c r="E66" s="35" t="s">
        <v>87</v>
      </c>
      <c r="F66" s="113" t="s">
        <v>425</v>
      </c>
      <c r="G66" s="36">
        <f t="shared" si="17"/>
        <v>2.2359999999999998</v>
      </c>
      <c r="H66" s="54" t="s">
        <v>433</v>
      </c>
      <c r="I66" s="6">
        <v>1</v>
      </c>
      <c r="J66" s="6">
        <v>8</v>
      </c>
      <c r="K66" s="21">
        <v>29</v>
      </c>
      <c r="L66" s="22">
        <f t="shared" si="3"/>
        <v>38</v>
      </c>
      <c r="M66" s="117">
        <v>0</v>
      </c>
      <c r="N66" s="5">
        <f>AJ66</f>
        <v>0.05</v>
      </c>
      <c r="O66" s="5">
        <v>8.5000000000000006E-2</v>
      </c>
      <c r="P66" s="5">
        <v>8.7999999999999995E-2</v>
      </c>
      <c r="Q66" s="90">
        <v>2.0129999999999999</v>
      </c>
      <c r="R66" s="24"/>
      <c r="S66" s="25">
        <f t="shared" si="13"/>
        <v>0</v>
      </c>
      <c r="T66" s="82">
        <f t="shared" si="14"/>
        <v>2.2361359570661898</v>
      </c>
      <c r="U66" s="82">
        <f t="shared" si="15"/>
        <v>3.8014311270125232</v>
      </c>
      <c r="V66" s="82">
        <f t="shared" si="16"/>
        <v>3.9355992844364938</v>
      </c>
      <c r="W66" s="82">
        <f t="shared" si="9"/>
        <v>90.026833631484806</v>
      </c>
      <c r="X66" s="27"/>
      <c r="Y66" s="82"/>
      <c r="Z66" s="25"/>
      <c r="AA66" s="82"/>
      <c r="AB66" s="90" t="s">
        <v>190</v>
      </c>
      <c r="AC66" s="90" t="s">
        <v>189</v>
      </c>
      <c r="AD66" s="5" t="s">
        <v>188</v>
      </c>
      <c r="AE66" s="24" t="s">
        <v>187</v>
      </c>
      <c r="AF66" s="28"/>
      <c r="AG66" s="29" t="s">
        <v>95</v>
      </c>
      <c r="AH66" s="4" t="str">
        <f>AB66</f>
        <v xml:space="preserve"> ,253</v>
      </c>
      <c r="AI66" s="30" t="s">
        <v>99</v>
      </c>
      <c r="AJ66" s="5">
        <v>0.05</v>
      </c>
      <c r="AK66" s="2" t="s">
        <v>453</v>
      </c>
      <c r="AL66" s="3" t="s">
        <v>703</v>
      </c>
      <c r="AM66" s="29"/>
      <c r="AO66" s="30"/>
      <c r="AP66" s="5"/>
      <c r="AQ66" s="2"/>
      <c r="AS66" s="29"/>
      <c r="AU66" s="30"/>
      <c r="AV66" s="5"/>
      <c r="AW66" s="2"/>
      <c r="AY66" s="29"/>
      <c r="BA66" s="30"/>
      <c r="BB66" s="5"/>
      <c r="BC66" s="2"/>
      <c r="BE66" s="29"/>
      <c r="BG66" s="30"/>
      <c r="BH66" s="5"/>
      <c r="BJ66" s="46"/>
      <c r="BK66" s="5"/>
    </row>
    <row r="67" spans="2:63" x14ac:dyDescent="0.25">
      <c r="B67" s="105"/>
      <c r="C67" s="6">
        <v>1</v>
      </c>
      <c r="D67" s="35">
        <v>63</v>
      </c>
      <c r="E67" s="35" t="s">
        <v>88</v>
      </c>
      <c r="F67" s="113" t="s">
        <v>426</v>
      </c>
      <c r="G67" s="36">
        <f t="shared" si="17"/>
        <v>2.7850000000000001</v>
      </c>
      <c r="H67" s="54" t="s">
        <v>433</v>
      </c>
      <c r="I67" s="6">
        <v>3</v>
      </c>
      <c r="J67" s="6">
        <v>7</v>
      </c>
      <c r="K67" s="21">
        <v>43</v>
      </c>
      <c r="L67" s="22">
        <f t="shared" si="3"/>
        <v>53</v>
      </c>
      <c r="M67" s="117">
        <v>0</v>
      </c>
      <c r="N67" s="5">
        <f>AJ67+AP67+AV67</f>
        <v>0.13300000000000001</v>
      </c>
      <c r="O67" s="5">
        <v>8.4000000000000005E-2</v>
      </c>
      <c r="P67" s="5">
        <v>0.14499999999999999</v>
      </c>
      <c r="Q67" s="90">
        <v>2.423</v>
      </c>
      <c r="R67" s="24"/>
      <c r="S67" s="25">
        <f t="shared" si="13"/>
        <v>0</v>
      </c>
      <c r="T67" s="82">
        <f t="shared" si="14"/>
        <v>4.7755834829443451</v>
      </c>
      <c r="U67" s="82">
        <f t="shared" si="15"/>
        <v>3.0161579892280073</v>
      </c>
      <c r="V67" s="82">
        <f t="shared" si="16"/>
        <v>5.2064631956912022</v>
      </c>
      <c r="W67" s="82">
        <f t="shared" si="9"/>
        <v>87.001795332136439</v>
      </c>
      <c r="X67" s="27"/>
      <c r="Y67" s="82"/>
      <c r="Z67" s="25"/>
      <c r="AA67" s="82"/>
      <c r="AB67" s="90" t="s">
        <v>194</v>
      </c>
      <c r="AC67" s="90" t="s">
        <v>193</v>
      </c>
      <c r="AD67" s="5" t="s">
        <v>192</v>
      </c>
      <c r="AE67" s="24" t="s">
        <v>191</v>
      </c>
      <c r="AF67" s="28"/>
      <c r="AG67" s="29" t="s">
        <v>95</v>
      </c>
      <c r="AH67" s="4" t="str">
        <f>AB67</f>
        <v xml:space="preserve"> ,257</v>
      </c>
      <c r="AI67" s="30" t="s">
        <v>99</v>
      </c>
      <c r="AJ67" s="5">
        <v>3.9E-2</v>
      </c>
      <c r="AK67" s="2" t="s">
        <v>453</v>
      </c>
      <c r="AL67" s="3" t="s">
        <v>703</v>
      </c>
      <c r="AM67" s="29" t="s">
        <v>96</v>
      </c>
      <c r="AN67" s="4" t="str">
        <f>AH67</f>
        <v xml:space="preserve"> ,257</v>
      </c>
      <c r="AO67" s="30" t="s">
        <v>99</v>
      </c>
      <c r="AP67" s="5">
        <v>4.7E-2</v>
      </c>
      <c r="AQ67" s="2" t="s">
        <v>453</v>
      </c>
      <c r="AR67" s="3" t="s">
        <v>703</v>
      </c>
      <c r="AS67" s="29" t="s">
        <v>114</v>
      </c>
      <c r="AT67" s="4" t="str">
        <f>AN67</f>
        <v xml:space="preserve"> ,257</v>
      </c>
      <c r="AU67" s="30" t="s">
        <v>99</v>
      </c>
      <c r="AV67" s="5">
        <f>0.047</f>
        <v>4.7E-2</v>
      </c>
      <c r="AW67" s="2" t="s">
        <v>453</v>
      </c>
      <c r="AX67" s="5" t="s">
        <v>703</v>
      </c>
      <c r="AY67" s="29"/>
      <c r="BA67" s="30"/>
      <c r="BB67" s="5"/>
      <c r="BC67" s="2"/>
      <c r="BE67" s="29"/>
      <c r="BG67" s="30"/>
      <c r="BH67" s="5"/>
      <c r="BJ67" s="46"/>
      <c r="BK67" s="5"/>
    </row>
    <row r="68" spans="2:63" x14ac:dyDescent="0.25">
      <c r="B68" s="44"/>
      <c r="C68" s="35">
        <v>1</v>
      </c>
      <c r="D68" s="35">
        <v>64</v>
      </c>
      <c r="E68" s="35" t="s">
        <v>89</v>
      </c>
      <c r="F68" s="113" t="s">
        <v>427</v>
      </c>
      <c r="G68" s="36">
        <f t="shared" si="17"/>
        <v>2.1619999999999999</v>
      </c>
      <c r="H68" s="54" t="s">
        <v>433</v>
      </c>
      <c r="I68" s="6">
        <v>1</v>
      </c>
      <c r="J68" s="6">
        <v>7</v>
      </c>
      <c r="K68" s="21">
        <v>26</v>
      </c>
      <c r="L68" s="22">
        <f t="shared" si="3"/>
        <v>34</v>
      </c>
      <c r="M68" s="117">
        <v>0</v>
      </c>
      <c r="N68" s="5">
        <f>AJ68</f>
        <v>6.9000000000000006E-2</v>
      </c>
      <c r="O68" s="5">
        <v>9.7000000000000003E-2</v>
      </c>
      <c r="P68" s="5">
        <v>0.1</v>
      </c>
      <c r="Q68" s="90">
        <v>1.8959999999999999</v>
      </c>
      <c r="R68" s="24"/>
      <c r="S68" s="25">
        <f t="shared" si="13"/>
        <v>0</v>
      </c>
      <c r="T68" s="82">
        <f t="shared" si="14"/>
        <v>3.191489361702128</v>
      </c>
      <c r="U68" s="82">
        <f t="shared" si="15"/>
        <v>4.4865864939870495</v>
      </c>
      <c r="V68" s="82">
        <f t="shared" si="16"/>
        <v>4.6253469010175765</v>
      </c>
      <c r="W68" s="82">
        <f t="shared" si="9"/>
        <v>87.696577243293248</v>
      </c>
      <c r="X68" s="27"/>
      <c r="Y68" s="82"/>
      <c r="Z68" s="25"/>
      <c r="AA68" s="82"/>
      <c r="AB68" s="90" t="s">
        <v>198</v>
      </c>
      <c r="AC68" s="90" t="s">
        <v>197</v>
      </c>
      <c r="AD68" s="5" t="s">
        <v>196</v>
      </c>
      <c r="AE68" s="24" t="s">
        <v>195</v>
      </c>
      <c r="AF68" s="28"/>
      <c r="AG68" s="29" t="s">
        <v>95</v>
      </c>
      <c r="AH68" s="4" t="str">
        <f>AB68</f>
        <v xml:space="preserve"> ,261</v>
      </c>
      <c r="AI68" s="30" t="s">
        <v>99</v>
      </c>
      <c r="AJ68" s="5">
        <v>6.9000000000000006E-2</v>
      </c>
      <c r="AK68" s="2" t="s">
        <v>453</v>
      </c>
      <c r="AL68" s="3" t="s">
        <v>703</v>
      </c>
      <c r="AM68" s="29"/>
      <c r="AO68" s="30"/>
      <c r="AP68" s="5"/>
      <c r="AQ68" s="2"/>
      <c r="AS68" s="29"/>
      <c r="AU68" s="30"/>
      <c r="AV68" s="5"/>
      <c r="AW68" s="2"/>
      <c r="AY68" s="29"/>
      <c r="BA68" s="30"/>
      <c r="BB68" s="5"/>
      <c r="BC68" s="2"/>
      <c r="BE68" s="29"/>
      <c r="BG68" s="30"/>
      <c r="BH68" s="5"/>
      <c r="BJ68" s="46"/>
      <c r="BK68" s="5"/>
    </row>
    <row r="69" spans="2:63" x14ac:dyDescent="0.25">
      <c r="B69" s="44"/>
      <c r="C69" s="35">
        <v>1</v>
      </c>
      <c r="D69" s="35">
        <v>65</v>
      </c>
      <c r="E69" s="35" t="s">
        <v>90</v>
      </c>
      <c r="F69" s="113" t="s">
        <v>428</v>
      </c>
      <c r="G69" s="36">
        <f t="shared" si="17"/>
        <v>2.3699999999999997</v>
      </c>
      <c r="H69" s="54" t="s">
        <v>433</v>
      </c>
      <c r="I69" s="6" t="s">
        <v>435</v>
      </c>
      <c r="J69" s="6">
        <v>12</v>
      </c>
      <c r="K69" s="21">
        <v>22</v>
      </c>
      <c r="L69" s="22">
        <f t="shared" si="3"/>
        <v>34</v>
      </c>
      <c r="M69" s="117">
        <v>0</v>
      </c>
      <c r="N69" s="118">
        <v>0</v>
      </c>
      <c r="O69" s="5">
        <v>0.104</v>
      </c>
      <c r="P69" s="5">
        <v>6.7000000000000004E-2</v>
      </c>
      <c r="Q69" s="90">
        <v>2.1989999999999998</v>
      </c>
      <c r="R69" s="24"/>
      <c r="S69" s="25">
        <f t="shared" si="13"/>
        <v>0</v>
      </c>
      <c r="T69" s="82">
        <f t="shared" si="14"/>
        <v>0</v>
      </c>
      <c r="U69" s="82">
        <f t="shared" si="15"/>
        <v>4.3881856540084394</v>
      </c>
      <c r="V69" s="82">
        <f t="shared" si="16"/>
        <v>2.8270042194092833</v>
      </c>
      <c r="W69" s="82">
        <f t="shared" si="9"/>
        <v>92.784810126582286</v>
      </c>
      <c r="X69" s="27"/>
      <c r="Y69" s="82"/>
      <c r="Z69" s="25"/>
      <c r="AA69" s="82"/>
      <c r="AB69" s="90"/>
      <c r="AC69" s="90" t="s">
        <v>364</v>
      </c>
      <c r="AD69" s="5" t="s">
        <v>200</v>
      </c>
      <c r="AE69" s="24" t="s">
        <v>199</v>
      </c>
      <c r="AF69" s="53"/>
      <c r="AG69" s="29"/>
      <c r="AI69" s="30"/>
      <c r="AJ69" s="5"/>
      <c r="AM69" s="29"/>
      <c r="AO69" s="30"/>
      <c r="AP69" s="5"/>
      <c r="AQ69" s="2"/>
      <c r="AR69" s="31"/>
      <c r="AS69" s="29"/>
      <c r="AU69" s="30"/>
      <c r="AV69" s="5"/>
      <c r="AW69" s="2"/>
      <c r="AX69" s="6"/>
      <c r="AY69" s="29"/>
      <c r="BA69" s="30"/>
      <c r="BB69" s="5"/>
      <c r="BC69" s="2"/>
      <c r="BD69" s="31"/>
      <c r="BE69" s="29"/>
      <c r="BG69" s="30"/>
      <c r="BH69" s="5"/>
      <c r="BJ69" s="37"/>
      <c r="BK69" s="5"/>
    </row>
    <row r="70" spans="2:63" x14ac:dyDescent="0.25">
      <c r="B70" s="44"/>
      <c r="C70" s="126">
        <v>1</v>
      </c>
      <c r="D70" s="126">
        <v>66</v>
      </c>
      <c r="E70" s="80" t="s">
        <v>91</v>
      </c>
      <c r="F70" s="113" t="s">
        <v>429</v>
      </c>
      <c r="G70" s="132">
        <f t="shared" si="17"/>
        <v>2.7490000000000001</v>
      </c>
      <c r="H70" s="54" t="s">
        <v>433</v>
      </c>
      <c r="I70" s="80" t="s">
        <v>435</v>
      </c>
      <c r="J70" s="80">
        <v>6</v>
      </c>
      <c r="K70" s="21">
        <v>37</v>
      </c>
      <c r="L70" s="133">
        <f t="shared" ref="L70:L71" si="18">SUM(H70:K70)</f>
        <v>43</v>
      </c>
      <c r="M70" s="117">
        <v>0</v>
      </c>
      <c r="N70" s="127">
        <v>0</v>
      </c>
      <c r="O70" s="90">
        <v>7.5999999999999998E-2</v>
      </c>
      <c r="P70" s="90">
        <v>0.11799999999999999</v>
      </c>
      <c r="Q70" s="90">
        <v>2.5550000000000002</v>
      </c>
      <c r="R70" s="24"/>
      <c r="S70" s="25">
        <f t="shared" si="13"/>
        <v>0</v>
      </c>
      <c r="T70" s="82">
        <f t="shared" si="14"/>
        <v>0</v>
      </c>
      <c r="U70" s="82">
        <f t="shared" si="15"/>
        <v>2.7646416878865039</v>
      </c>
      <c r="V70" s="82">
        <f t="shared" si="16"/>
        <v>4.29246998908694</v>
      </c>
      <c r="W70" s="82">
        <f>Q70/$G70*100</f>
        <v>92.942888323026565</v>
      </c>
      <c r="X70" s="27"/>
      <c r="Y70" s="82"/>
      <c r="Z70" s="25"/>
      <c r="AA70" s="82"/>
      <c r="AB70" s="90"/>
      <c r="AC70" s="90" t="s">
        <v>363</v>
      </c>
      <c r="AD70" s="90" t="s">
        <v>362</v>
      </c>
      <c r="AE70" s="24" t="s">
        <v>361</v>
      </c>
      <c r="AF70" s="128"/>
      <c r="AG70" s="29"/>
      <c r="AH70" s="86"/>
      <c r="AI70" s="129"/>
      <c r="AJ70" s="90"/>
      <c r="AK70" s="130"/>
      <c r="AL70" s="37"/>
      <c r="AM70" s="29"/>
      <c r="AN70" s="86"/>
      <c r="AO70" s="129"/>
      <c r="AP70" s="90"/>
      <c r="AQ70" s="86"/>
      <c r="AR70" s="131"/>
      <c r="AS70" s="29"/>
      <c r="AT70" s="86"/>
      <c r="AU70" s="129"/>
      <c r="AV70" s="90"/>
      <c r="AW70" s="86"/>
      <c r="AX70" s="80"/>
      <c r="AY70" s="29"/>
      <c r="AZ70" s="86"/>
      <c r="BA70" s="129"/>
      <c r="BB70" s="90"/>
      <c r="BC70" s="86"/>
      <c r="BD70" s="131"/>
      <c r="BE70" s="29"/>
      <c r="BF70" s="86"/>
      <c r="BG70" s="129"/>
      <c r="BH70" s="90"/>
      <c r="BI70" s="86"/>
      <c r="BJ70" s="37"/>
      <c r="BK70" s="5"/>
    </row>
    <row r="71" spans="2:63" ht="15.75" thickBot="1" x14ac:dyDescent="0.3">
      <c r="B71" s="55"/>
      <c r="C71" s="56">
        <v>1</v>
      </c>
      <c r="D71" s="56" t="s">
        <v>498</v>
      </c>
      <c r="E71" s="67" t="s">
        <v>499</v>
      </c>
      <c r="F71" s="134" t="s">
        <v>498</v>
      </c>
      <c r="G71" s="75">
        <f t="shared" si="17"/>
        <v>13.061</v>
      </c>
      <c r="H71" s="58">
        <v>1</v>
      </c>
      <c r="I71" s="58" t="s">
        <v>433</v>
      </c>
      <c r="J71" s="58" t="s">
        <v>433</v>
      </c>
      <c r="K71" s="59" t="s">
        <v>433</v>
      </c>
      <c r="L71" s="73">
        <f t="shared" si="18"/>
        <v>1</v>
      </c>
      <c r="M71" s="138">
        <v>1.256</v>
      </c>
      <c r="N71" s="120">
        <v>0</v>
      </c>
      <c r="O71" s="60">
        <v>0</v>
      </c>
      <c r="P71" s="60">
        <v>0</v>
      </c>
      <c r="Q71" s="60">
        <f>13.061-M71</f>
        <v>11.805</v>
      </c>
      <c r="R71" s="60"/>
      <c r="S71" s="62">
        <f t="shared" si="13"/>
        <v>9.6164152821376625</v>
      </c>
      <c r="T71" s="63">
        <f t="shared" si="14"/>
        <v>0</v>
      </c>
      <c r="U71" s="63">
        <f t="shared" si="15"/>
        <v>0</v>
      </c>
      <c r="V71" s="63">
        <f t="shared" si="16"/>
        <v>0</v>
      </c>
      <c r="W71" s="63">
        <f>Q71/$G71*100</f>
        <v>90.383584717862348</v>
      </c>
      <c r="X71" s="63"/>
      <c r="Y71" s="137"/>
      <c r="Z71" s="63"/>
      <c r="AA71" s="63" t="s">
        <v>500</v>
      </c>
      <c r="AB71" s="60"/>
      <c r="AC71" s="60"/>
      <c r="AD71" s="60"/>
      <c r="AE71" s="60" t="s">
        <v>501</v>
      </c>
      <c r="AF71" s="136"/>
      <c r="AG71" s="67" t="s">
        <v>95</v>
      </c>
      <c r="AH71" s="67" t="s">
        <v>500</v>
      </c>
      <c r="AI71" s="68" t="s">
        <v>112</v>
      </c>
      <c r="AJ71" s="60">
        <v>1.2789999999999999</v>
      </c>
      <c r="AK71" s="71" t="s">
        <v>453</v>
      </c>
      <c r="AL71" s="69" t="s">
        <v>703</v>
      </c>
      <c r="AM71" s="66"/>
      <c r="AN71" s="67"/>
      <c r="AO71" s="68"/>
      <c r="AP71" s="60"/>
      <c r="AQ71" s="67"/>
      <c r="AR71" s="69"/>
      <c r="AS71" s="66"/>
      <c r="AT71" s="67"/>
      <c r="AU71" s="68"/>
      <c r="AV71" s="60"/>
      <c r="AW71" s="67"/>
      <c r="AX71" s="58"/>
      <c r="AY71" s="66"/>
      <c r="AZ71" s="67"/>
      <c r="BA71" s="68"/>
      <c r="BB71" s="60"/>
      <c r="BC71" s="67"/>
      <c r="BD71" s="69"/>
      <c r="BE71" s="66"/>
      <c r="BF71" s="67"/>
      <c r="BG71" s="68"/>
      <c r="BH71" s="60"/>
      <c r="BI71" s="67"/>
      <c r="BJ71" s="135"/>
      <c r="BK71" s="5"/>
    </row>
    <row r="72" spans="2:63" ht="45" customHeight="1" thickTop="1" x14ac:dyDescent="0.25">
      <c r="B72" s="139"/>
      <c r="C72" s="35"/>
      <c r="D72" s="35"/>
      <c r="E72" s="251"/>
      <c r="F72" s="251"/>
      <c r="G72" s="78"/>
      <c r="H72" s="203" t="s">
        <v>511</v>
      </c>
      <c r="I72" s="203"/>
      <c r="J72" s="209">
        <f>SUM(H5:I71)</f>
        <v>121</v>
      </c>
      <c r="K72" s="6"/>
      <c r="L72" s="6"/>
      <c r="M72" s="5"/>
      <c r="N72" s="5"/>
      <c r="O72" s="5"/>
      <c r="P72" s="5"/>
      <c r="Q72" s="5"/>
      <c r="R72" s="5"/>
      <c r="S72" s="26"/>
      <c r="T72" s="26"/>
      <c r="U72" s="26"/>
      <c r="V72" s="26"/>
      <c r="W72" s="26"/>
      <c r="X72" s="26"/>
      <c r="Y72" s="82"/>
      <c r="Z72" s="82"/>
      <c r="AA72" s="82"/>
      <c r="AB72" s="5"/>
      <c r="AC72" s="5"/>
      <c r="AD72" s="5"/>
      <c r="AE72" s="5"/>
      <c r="AF72" s="53"/>
      <c r="AI72" s="30"/>
      <c r="AJ72" s="5"/>
      <c r="AO72" s="30"/>
      <c r="AP72" s="5"/>
      <c r="AQ72" s="2"/>
      <c r="AR72" s="31"/>
      <c r="AU72" s="30"/>
      <c r="AV72" s="5"/>
      <c r="AW72" s="2"/>
      <c r="AX72" s="6"/>
      <c r="BA72" s="30"/>
      <c r="BB72" s="5"/>
      <c r="BC72" s="2"/>
      <c r="BD72" s="31"/>
      <c r="BG72" s="30"/>
      <c r="BH72" s="5"/>
      <c r="BJ72" s="31"/>
      <c r="BK72" s="5"/>
    </row>
    <row r="73" spans="2:63" s="210" customFormat="1" ht="15.75" x14ac:dyDescent="0.25">
      <c r="B73" s="215" t="s">
        <v>510</v>
      </c>
      <c r="C73" s="216"/>
      <c r="D73" s="216"/>
      <c r="F73" s="217"/>
      <c r="G73" s="218">
        <f>SUM(G5:G71)</f>
        <v>163.47000000000003</v>
      </c>
      <c r="H73" s="219"/>
      <c r="I73" s="214"/>
      <c r="J73" s="214"/>
      <c r="K73" s="220"/>
      <c r="L73" s="220"/>
      <c r="M73" s="220"/>
      <c r="N73" s="220"/>
      <c r="O73" s="213"/>
      <c r="P73" s="221"/>
      <c r="Q73" s="211"/>
      <c r="R73" s="211"/>
      <c r="S73" s="211"/>
      <c r="T73" s="222"/>
      <c r="U73" s="222"/>
      <c r="V73" s="212"/>
      <c r="W73" s="211"/>
      <c r="X73" s="211"/>
      <c r="Y73" s="211"/>
      <c r="Z73" s="219"/>
      <c r="AA73" s="219"/>
      <c r="AB73" s="212"/>
      <c r="AC73" s="214"/>
    </row>
    <row r="74" spans="2:63" x14ac:dyDescent="0.25">
      <c r="S74" s="53"/>
    </row>
    <row r="76" spans="2:63" x14ac:dyDescent="0.25">
      <c r="E76" s="4"/>
    </row>
    <row r="77" spans="2:63" x14ac:dyDescent="0.25">
      <c r="E77" s="4"/>
    </row>
  </sheetData>
  <mergeCells count="6">
    <mergeCell ref="E72:F72"/>
    <mergeCell ref="AG3:BJ3"/>
    <mergeCell ref="B3:G3"/>
    <mergeCell ref="H3:L3"/>
    <mergeCell ref="M3:R3"/>
    <mergeCell ref="S3:X3"/>
  </mergeCells>
  <phoneticPr fontId="9" type="noConversion"/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D6B00-67FE-4103-BAB6-1134616C7D04}">
  <dimension ref="A1:BL73"/>
  <sheetViews>
    <sheetView zoomScale="89" workbookViewId="0">
      <pane xSplit="6" ySplit="4" topLeftCell="G48" activePane="bottomRight" state="frozen"/>
      <selection pane="topRight" activeCell="G1" sqref="G1"/>
      <selection pane="bottomLeft" activeCell="A5" sqref="A5"/>
      <selection pane="bottomRight" activeCell="Q50" sqref="Q50"/>
    </sheetView>
  </sheetViews>
  <sheetFormatPr defaultRowHeight="15" x14ac:dyDescent="0.25"/>
  <cols>
    <col min="1" max="1" width="1.85546875" customWidth="1"/>
    <col min="2" max="2" width="10.7109375" bestFit="1" customWidth="1"/>
    <col min="3" max="3" width="6.140625" customWidth="1"/>
    <col min="4" max="5" width="9.140625" style="2"/>
    <col min="6" max="6" width="13.28515625" style="2" customWidth="1"/>
    <col min="7" max="7" width="10.7109375" style="2" customWidth="1"/>
    <col min="8" max="8" width="10" style="2" customWidth="1"/>
    <col min="9" max="24" width="9.140625" style="2"/>
    <col min="25" max="25" width="3.7109375" style="86" customWidth="1"/>
    <col min="26" max="27" width="9.7109375" style="86" customWidth="1"/>
    <col min="28" max="31" width="9.140625" style="2"/>
    <col min="32" max="32" width="3.42578125" style="2" customWidth="1"/>
    <col min="33" max="33" width="9.140625" style="2"/>
    <col min="34" max="34" width="11.140625" style="2" customWidth="1"/>
    <col min="35" max="35" width="8.42578125" style="2" customWidth="1"/>
    <col min="36" max="36" width="9.140625" style="2"/>
    <col min="37" max="37" width="10.42578125" style="2" customWidth="1"/>
    <col min="38" max="38" width="9.28515625" style="3" customWidth="1"/>
    <col min="39" max="39" width="12" style="2" customWidth="1"/>
    <col min="40" max="40" width="11.42578125" style="2" customWidth="1"/>
    <col min="41" max="41" width="8.7109375" style="2" customWidth="1"/>
    <col min="42" max="42" width="9.7109375" style="2" customWidth="1"/>
    <col min="43" max="43" width="11.85546875" style="4" customWidth="1"/>
    <col min="44" max="44" width="8.7109375" style="3" customWidth="1"/>
    <col min="45" max="45" width="12.5703125" style="2" customWidth="1"/>
    <col min="46" max="46" width="11.28515625" style="2" customWidth="1"/>
    <col min="47" max="47" width="9.140625" style="2"/>
    <col min="48" max="48" width="9.5703125" style="2" customWidth="1"/>
    <col min="49" max="49" width="9.140625" style="4"/>
    <col min="50" max="50" width="9.42578125" style="5" customWidth="1"/>
    <col min="51" max="51" width="13.140625" style="2" customWidth="1"/>
    <col min="52" max="52" width="11" style="2" customWidth="1"/>
    <col min="53" max="53" width="9.28515625" style="88" customWidth="1"/>
    <col min="54" max="54" width="9.5703125" style="2" customWidth="1"/>
    <col min="55" max="55" width="9.140625" style="4"/>
    <col min="56" max="56" width="9.140625" style="3"/>
    <col min="57" max="57" width="10.85546875" style="2" customWidth="1"/>
    <col min="58" max="58" width="12.140625" style="2" customWidth="1"/>
    <col min="59" max="59" width="9.140625" style="88"/>
    <col min="60" max="60" width="9.7109375" style="2" customWidth="1"/>
    <col min="61" max="61" width="8.28515625" style="2" customWidth="1"/>
    <col min="62" max="62" width="9.140625" style="3"/>
    <col min="63" max="63" width="9.140625" style="4"/>
  </cols>
  <sheetData>
    <row r="1" spans="1:63" s="1" customFormat="1" ht="18.75" x14ac:dyDescent="0.3">
      <c r="A1" s="1" t="s">
        <v>436</v>
      </c>
      <c r="Y1" s="85"/>
      <c r="Z1" s="85"/>
      <c r="AA1" s="85"/>
      <c r="BA1" s="87"/>
      <c r="BG1" s="87"/>
    </row>
    <row r="2" spans="1:63" ht="15.75" thickBot="1" x14ac:dyDescent="0.3"/>
    <row r="3" spans="1:63" s="77" customFormat="1" ht="15" customHeight="1" thickBot="1" x14ac:dyDescent="0.3">
      <c r="B3" s="252" t="s">
        <v>7</v>
      </c>
      <c r="C3" s="253"/>
      <c r="D3" s="253"/>
      <c r="E3" s="253"/>
      <c r="F3" s="253"/>
      <c r="G3" s="254"/>
      <c r="H3" s="252" t="s">
        <v>8</v>
      </c>
      <c r="I3" s="253"/>
      <c r="J3" s="253"/>
      <c r="K3" s="253"/>
      <c r="L3" s="254"/>
      <c r="M3" s="252" t="s">
        <v>9</v>
      </c>
      <c r="N3" s="253"/>
      <c r="O3" s="253"/>
      <c r="P3" s="253"/>
      <c r="Q3" s="253"/>
      <c r="R3" s="254"/>
      <c r="S3" s="252" t="s">
        <v>10</v>
      </c>
      <c r="T3" s="253"/>
      <c r="U3" s="253"/>
      <c r="V3" s="253"/>
      <c r="W3" s="253"/>
      <c r="X3" s="254"/>
      <c r="Y3" s="230"/>
      <c r="Z3" s="231"/>
      <c r="AA3" s="232"/>
      <c r="AB3" s="233" t="s">
        <v>101</v>
      </c>
      <c r="AC3" s="233"/>
      <c r="AD3" s="233"/>
      <c r="AE3" s="234"/>
      <c r="AG3" s="252" t="s">
        <v>11</v>
      </c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4"/>
    </row>
    <row r="4" spans="1:63" ht="60.75" thickBot="1" x14ac:dyDescent="0.3">
      <c r="B4" s="7" t="s">
        <v>431</v>
      </c>
      <c r="C4" s="8" t="s">
        <v>12</v>
      </c>
      <c r="D4" s="8" t="s">
        <v>13</v>
      </c>
      <c r="E4" s="8" t="s">
        <v>432</v>
      </c>
      <c r="F4" s="110" t="s">
        <v>360</v>
      </c>
      <c r="G4" s="9" t="s">
        <v>14</v>
      </c>
      <c r="H4" s="7" t="s">
        <v>15</v>
      </c>
      <c r="I4" s="8" t="s">
        <v>16</v>
      </c>
      <c r="J4" s="8" t="s">
        <v>17</v>
      </c>
      <c r="K4" s="10" t="s">
        <v>18</v>
      </c>
      <c r="L4" s="11" t="s">
        <v>19</v>
      </c>
      <c r="M4" s="7" t="s">
        <v>15</v>
      </c>
      <c r="N4" s="8" t="s">
        <v>16</v>
      </c>
      <c r="O4" s="8" t="s">
        <v>17</v>
      </c>
      <c r="P4" s="8" t="s">
        <v>18</v>
      </c>
      <c r="Q4" s="83" t="s">
        <v>20</v>
      </c>
      <c r="R4" s="10" t="s">
        <v>162</v>
      </c>
      <c r="S4" s="7" t="s">
        <v>15</v>
      </c>
      <c r="T4" s="8" t="s">
        <v>16</v>
      </c>
      <c r="U4" s="8" t="s">
        <v>17</v>
      </c>
      <c r="V4" s="83" t="s">
        <v>18</v>
      </c>
      <c r="W4" s="83" t="s">
        <v>20</v>
      </c>
      <c r="X4" s="10" t="s">
        <v>162</v>
      </c>
      <c r="Y4" s="81"/>
      <c r="Z4" s="13" t="s">
        <v>162</v>
      </c>
      <c r="AA4" s="83" t="s">
        <v>15</v>
      </c>
      <c r="AB4" s="8" t="s">
        <v>128</v>
      </c>
      <c r="AC4" s="84" t="s">
        <v>17</v>
      </c>
      <c r="AD4" s="8" t="s">
        <v>18</v>
      </c>
      <c r="AE4" s="10" t="s">
        <v>20</v>
      </c>
      <c r="AF4" s="12"/>
      <c r="AG4" s="13" t="s">
        <v>21</v>
      </c>
      <c r="AH4" s="14" t="s">
        <v>28</v>
      </c>
      <c r="AI4" s="14" t="s">
        <v>22</v>
      </c>
      <c r="AJ4" s="15" t="s">
        <v>23</v>
      </c>
      <c r="AK4" s="14" t="s">
        <v>24</v>
      </c>
      <c r="AL4" s="16" t="s">
        <v>25</v>
      </c>
      <c r="AM4" s="13" t="s">
        <v>21</v>
      </c>
      <c r="AN4" s="14" t="s">
        <v>28</v>
      </c>
      <c r="AO4" s="14" t="s">
        <v>22</v>
      </c>
      <c r="AP4" s="15" t="s">
        <v>23</v>
      </c>
      <c r="AQ4" s="14" t="s">
        <v>24</v>
      </c>
      <c r="AR4" s="17" t="s">
        <v>25</v>
      </c>
      <c r="AS4" s="13" t="s">
        <v>21</v>
      </c>
      <c r="AT4" s="14" t="s">
        <v>28</v>
      </c>
      <c r="AU4" s="14" t="s">
        <v>22</v>
      </c>
      <c r="AV4" s="15" t="s">
        <v>23</v>
      </c>
      <c r="AW4" s="14" t="s">
        <v>24</v>
      </c>
      <c r="AX4" s="16" t="s">
        <v>25</v>
      </c>
      <c r="AY4" s="13" t="s">
        <v>21</v>
      </c>
      <c r="AZ4" s="14" t="s">
        <v>28</v>
      </c>
      <c r="BA4" s="89" t="s">
        <v>22</v>
      </c>
      <c r="BB4" s="15" t="s">
        <v>23</v>
      </c>
      <c r="BC4" s="14" t="s">
        <v>24</v>
      </c>
      <c r="BD4" s="17" t="s">
        <v>25</v>
      </c>
      <c r="BE4" s="13" t="s">
        <v>21</v>
      </c>
      <c r="BF4" s="14" t="s">
        <v>28</v>
      </c>
      <c r="BG4" s="89" t="s">
        <v>22</v>
      </c>
      <c r="BH4" s="15" t="s">
        <v>23</v>
      </c>
      <c r="BI4" s="14" t="s">
        <v>24</v>
      </c>
      <c r="BJ4" s="17" t="s">
        <v>25</v>
      </c>
      <c r="BK4" s="18"/>
    </row>
    <row r="5" spans="1:63" s="163" customFormat="1" x14ac:dyDescent="0.25">
      <c r="B5" s="169">
        <v>44690</v>
      </c>
      <c r="C5" s="149">
        <v>2</v>
      </c>
      <c r="D5" s="149">
        <v>1</v>
      </c>
      <c r="E5" s="149" t="s">
        <v>781</v>
      </c>
      <c r="F5" s="173" t="s">
        <v>372</v>
      </c>
      <c r="G5" s="147">
        <f t="shared" ref="G5:G36" si="0">SUM(M5:Q5)</f>
        <v>4.118999999999998</v>
      </c>
      <c r="H5" s="170">
        <v>1</v>
      </c>
      <c r="I5" s="149" t="s">
        <v>434</v>
      </c>
      <c r="J5" s="149">
        <v>0</v>
      </c>
      <c r="K5" s="150">
        <v>22</v>
      </c>
      <c r="L5" s="151">
        <f>SUM(H5:K5)</f>
        <v>23</v>
      </c>
      <c r="M5" s="174">
        <v>1.3979999999999999</v>
      </c>
      <c r="N5" s="118">
        <v>0</v>
      </c>
      <c r="O5" s="153">
        <f>0.095+0.094</f>
        <v>0.189</v>
      </c>
      <c r="P5" s="153">
        <v>0.06</v>
      </c>
      <c r="Q5" s="154">
        <f>18.569-16.097</f>
        <v>2.4719999999999978</v>
      </c>
      <c r="R5" s="155"/>
      <c r="S5" s="156">
        <f t="shared" ref="S5:W20" si="1">M5/$G5*100</f>
        <v>33.9402767662054</v>
      </c>
      <c r="T5" s="157">
        <f t="shared" si="1"/>
        <v>0</v>
      </c>
      <c r="U5" s="157">
        <f t="shared" si="1"/>
        <v>4.5884923525127475</v>
      </c>
      <c r="V5" s="157">
        <f t="shared" si="1"/>
        <v>1.4566642388929358</v>
      </c>
      <c r="W5" s="175">
        <f t="shared" si="1"/>
        <v>60.0145666423889</v>
      </c>
      <c r="X5" s="158"/>
      <c r="Y5" s="157"/>
      <c r="Z5" s="156"/>
      <c r="AA5" s="157" t="s">
        <v>440</v>
      </c>
      <c r="AB5" s="154"/>
      <c r="AC5" s="154" t="s">
        <v>439</v>
      </c>
      <c r="AD5" s="153" t="s">
        <v>438</v>
      </c>
      <c r="AE5" s="155" t="s">
        <v>437</v>
      </c>
      <c r="AF5" s="159"/>
      <c r="AG5" s="160" t="s">
        <v>95</v>
      </c>
      <c r="AH5" s="161" t="str">
        <f>AA5</f>
        <v xml:space="preserve"> ,1005</v>
      </c>
      <c r="AI5" s="162" t="s">
        <v>112</v>
      </c>
      <c r="AJ5" s="153">
        <v>1.3979999999999999</v>
      </c>
      <c r="AK5" s="163" t="s">
        <v>453</v>
      </c>
      <c r="AL5" s="167" t="s">
        <v>703</v>
      </c>
      <c r="AM5" s="176"/>
      <c r="AO5" s="162"/>
      <c r="AP5" s="153"/>
      <c r="AR5" s="167"/>
      <c r="AS5" s="160"/>
      <c r="AU5" s="149"/>
      <c r="AV5" s="153"/>
      <c r="AX5" s="149"/>
      <c r="AY5" s="160"/>
      <c r="BA5" s="162"/>
      <c r="BB5" s="153"/>
      <c r="BD5" s="167"/>
      <c r="BE5" s="160"/>
      <c r="BG5" s="177"/>
      <c r="BH5" s="161"/>
      <c r="BI5" s="178"/>
      <c r="BJ5" s="179"/>
      <c r="BK5" s="161"/>
    </row>
    <row r="6" spans="1:63" s="163" customFormat="1" x14ac:dyDescent="0.25">
      <c r="B6" s="180"/>
      <c r="C6" s="145">
        <v>2</v>
      </c>
      <c r="D6" s="145">
        <v>2</v>
      </c>
      <c r="E6" s="145" t="s">
        <v>30</v>
      </c>
      <c r="F6" s="181" t="s">
        <v>365</v>
      </c>
      <c r="G6" s="147">
        <f t="shared" si="0"/>
        <v>3.1809999999999996</v>
      </c>
      <c r="H6" s="170" t="s">
        <v>433</v>
      </c>
      <c r="I6" s="149">
        <v>1</v>
      </c>
      <c r="J6" s="149">
        <v>13</v>
      </c>
      <c r="K6" s="150">
        <v>39</v>
      </c>
      <c r="L6" s="151">
        <f t="shared" ref="L6:L69" si="2">SUM(H6:K6)</f>
        <v>53</v>
      </c>
      <c r="M6" s="152">
        <v>0</v>
      </c>
      <c r="N6" s="153">
        <v>0.05</v>
      </c>
      <c r="O6" s="153">
        <v>0.20399999999999999</v>
      </c>
      <c r="P6" s="153">
        <v>0.112</v>
      </c>
      <c r="Q6" s="154">
        <f>18.372-15.557</f>
        <v>2.8149999999999995</v>
      </c>
      <c r="R6" s="155"/>
      <c r="S6" s="156">
        <f t="shared" si="1"/>
        <v>0</v>
      </c>
      <c r="T6" s="157">
        <f t="shared" si="1"/>
        <v>1.571832756994656</v>
      </c>
      <c r="U6" s="157">
        <f t="shared" si="1"/>
        <v>6.413077648538196</v>
      </c>
      <c r="V6" s="157">
        <f t="shared" si="1"/>
        <v>3.5209053756680291</v>
      </c>
      <c r="W6" s="157">
        <f t="shared" si="1"/>
        <v>88.494184218799106</v>
      </c>
      <c r="X6" s="158"/>
      <c r="Y6" s="157"/>
      <c r="Z6" s="156"/>
      <c r="AA6" s="157"/>
      <c r="AB6" s="154" t="s">
        <v>444</v>
      </c>
      <c r="AC6" s="154" t="s">
        <v>443</v>
      </c>
      <c r="AD6" s="153" t="s">
        <v>442</v>
      </c>
      <c r="AE6" s="155" t="s">
        <v>441</v>
      </c>
      <c r="AF6" s="159"/>
      <c r="AG6" s="160" t="s">
        <v>95</v>
      </c>
      <c r="AH6" s="161" t="str">
        <f t="shared" ref="AH6:AH12" si="3">AB6</f>
        <v xml:space="preserve"> ,1009</v>
      </c>
      <c r="AI6" s="162" t="s">
        <v>99</v>
      </c>
      <c r="AJ6" s="153">
        <v>0.05</v>
      </c>
      <c r="AK6" s="163" t="s">
        <v>453</v>
      </c>
      <c r="AL6" s="167" t="s">
        <v>703</v>
      </c>
      <c r="AM6" s="160"/>
      <c r="AN6" s="161"/>
      <c r="AO6" s="162"/>
      <c r="AP6" s="153"/>
      <c r="AR6" s="167"/>
      <c r="AS6" s="160"/>
      <c r="AU6" s="162"/>
      <c r="AV6" s="153"/>
      <c r="AX6" s="149"/>
      <c r="AY6" s="160"/>
      <c r="BA6" s="162"/>
      <c r="BB6" s="153"/>
      <c r="BD6" s="167"/>
      <c r="BE6" s="160"/>
      <c r="BG6" s="177"/>
      <c r="BH6" s="161"/>
      <c r="BJ6" s="168"/>
      <c r="BK6" s="161"/>
    </row>
    <row r="7" spans="1:63" s="163" customFormat="1" x14ac:dyDescent="0.25">
      <c r="B7" s="180">
        <v>44691</v>
      </c>
      <c r="C7" s="145">
        <v>2</v>
      </c>
      <c r="D7" s="145">
        <v>3</v>
      </c>
      <c r="E7" s="145" t="s">
        <v>31</v>
      </c>
      <c r="F7" s="146" t="s">
        <v>366</v>
      </c>
      <c r="G7" s="147">
        <f t="shared" si="0"/>
        <v>2.903</v>
      </c>
      <c r="H7" s="170" t="s">
        <v>433</v>
      </c>
      <c r="I7" s="149">
        <v>2</v>
      </c>
      <c r="J7" s="149">
        <v>8</v>
      </c>
      <c r="K7" s="150">
        <v>35</v>
      </c>
      <c r="L7" s="151">
        <f t="shared" si="2"/>
        <v>45</v>
      </c>
      <c r="M7" s="152">
        <v>0</v>
      </c>
      <c r="N7" s="153">
        <f>0.053+0.122</f>
        <v>0.17499999999999999</v>
      </c>
      <c r="O7" s="153">
        <v>0.11700000000000001</v>
      </c>
      <c r="P7" s="153">
        <v>0.14899999999999999</v>
      </c>
      <c r="Q7" s="154">
        <v>2.4620000000000002</v>
      </c>
      <c r="R7" s="155"/>
      <c r="S7" s="156">
        <f t="shared" si="1"/>
        <v>0</v>
      </c>
      <c r="T7" s="157">
        <f t="shared" si="1"/>
        <v>6.0282466414054419</v>
      </c>
      <c r="U7" s="157">
        <f t="shared" si="1"/>
        <v>4.0303134688253532</v>
      </c>
      <c r="V7" s="157">
        <f t="shared" si="1"/>
        <v>5.1326214261109193</v>
      </c>
      <c r="W7" s="157">
        <f t="shared" si="1"/>
        <v>84.808818463658284</v>
      </c>
      <c r="X7" s="158"/>
      <c r="Y7" s="157"/>
      <c r="Z7" s="156"/>
      <c r="AA7" s="157"/>
      <c r="AB7" s="154" t="s">
        <v>448</v>
      </c>
      <c r="AC7" s="154" t="s">
        <v>447</v>
      </c>
      <c r="AD7" s="153" t="s">
        <v>446</v>
      </c>
      <c r="AE7" s="155" t="s">
        <v>445</v>
      </c>
      <c r="AF7" s="159"/>
      <c r="AG7" s="160" t="s">
        <v>95</v>
      </c>
      <c r="AH7" s="161" t="str">
        <f t="shared" si="3"/>
        <v xml:space="preserve"> ,1013</v>
      </c>
      <c r="AI7" s="162" t="s">
        <v>99</v>
      </c>
      <c r="AJ7" s="153">
        <v>5.2999999999999999E-2</v>
      </c>
      <c r="AK7" s="163" t="s">
        <v>453</v>
      </c>
      <c r="AL7" s="167" t="s">
        <v>703</v>
      </c>
      <c r="AM7" s="160" t="s">
        <v>96</v>
      </c>
      <c r="AN7" s="161" t="str">
        <f t="shared" ref="AN7:AN12" si="4">AH7</f>
        <v xml:space="preserve"> ,1013</v>
      </c>
      <c r="AO7" s="162" t="s">
        <v>99</v>
      </c>
      <c r="AP7" s="153">
        <v>0.122</v>
      </c>
      <c r="AQ7" s="163" t="s">
        <v>453</v>
      </c>
      <c r="AR7" s="167" t="s">
        <v>703</v>
      </c>
      <c r="AS7" s="160"/>
      <c r="AT7" s="161"/>
      <c r="AU7" s="162"/>
      <c r="AV7" s="153"/>
      <c r="AX7" s="149"/>
      <c r="AY7" s="160"/>
      <c r="AZ7" s="161"/>
      <c r="BA7" s="162"/>
      <c r="BB7" s="153"/>
      <c r="BD7" s="167"/>
      <c r="BE7" s="160"/>
      <c r="BG7" s="162"/>
      <c r="BH7" s="153"/>
      <c r="BJ7" s="168"/>
      <c r="BK7" s="153"/>
    </row>
    <row r="8" spans="1:63" s="96" customFormat="1" x14ac:dyDescent="0.25">
      <c r="B8" s="107"/>
      <c r="C8" s="19">
        <v>2</v>
      </c>
      <c r="D8" s="19">
        <v>4</v>
      </c>
      <c r="E8" s="19" t="s">
        <v>32</v>
      </c>
      <c r="F8" s="114" t="s">
        <v>367</v>
      </c>
      <c r="G8" s="97">
        <f t="shared" si="0"/>
        <v>3.4710000000000001</v>
      </c>
      <c r="H8" s="20" t="s">
        <v>433</v>
      </c>
      <c r="I8" s="47">
        <v>2</v>
      </c>
      <c r="J8" s="47">
        <v>9</v>
      </c>
      <c r="K8" s="48">
        <v>30</v>
      </c>
      <c r="L8" s="98">
        <f t="shared" si="2"/>
        <v>41</v>
      </c>
      <c r="M8" s="121">
        <v>0</v>
      </c>
      <c r="N8" s="42">
        <f>0.188+0.046</f>
        <v>0.23399999999999999</v>
      </c>
      <c r="O8" s="42">
        <v>0.182</v>
      </c>
      <c r="P8" s="42">
        <v>0.13100000000000001</v>
      </c>
      <c r="Q8" s="91">
        <v>2.9239999999999999</v>
      </c>
      <c r="R8" s="49"/>
      <c r="S8" s="99">
        <f t="shared" si="1"/>
        <v>0</v>
      </c>
      <c r="T8" s="100">
        <f t="shared" si="1"/>
        <v>6.7415730337078648</v>
      </c>
      <c r="U8" s="100">
        <f t="shared" si="1"/>
        <v>5.2434456928838946</v>
      </c>
      <c r="V8" s="100">
        <f t="shared" si="1"/>
        <v>3.7741284932296173</v>
      </c>
      <c r="W8" s="100">
        <f t="shared" si="1"/>
        <v>84.240852780178628</v>
      </c>
      <c r="X8" s="101"/>
      <c r="Y8" s="100"/>
      <c r="Z8" s="99"/>
      <c r="AA8" s="100"/>
      <c r="AB8" s="91" t="s">
        <v>452</v>
      </c>
      <c r="AC8" s="91" t="s">
        <v>451</v>
      </c>
      <c r="AD8" s="42" t="s">
        <v>450</v>
      </c>
      <c r="AE8" s="49" t="s">
        <v>449</v>
      </c>
      <c r="AF8" s="50"/>
      <c r="AG8" s="39" t="s">
        <v>95</v>
      </c>
      <c r="AH8" s="95" t="str">
        <f t="shared" si="3"/>
        <v xml:space="preserve"> ,1017</v>
      </c>
      <c r="AI8" s="41" t="s">
        <v>99</v>
      </c>
      <c r="AJ8" s="42">
        <v>0.188</v>
      </c>
      <c r="AK8" s="40" t="s">
        <v>453</v>
      </c>
      <c r="AL8" s="51" t="s">
        <v>703</v>
      </c>
      <c r="AM8" s="184" t="s">
        <v>96</v>
      </c>
      <c r="AN8" s="122" t="str">
        <f t="shared" si="4"/>
        <v xml:space="preserve"> ,1017</v>
      </c>
      <c r="AO8" s="185" t="s">
        <v>99</v>
      </c>
      <c r="AP8" s="186">
        <v>4.5999999999999999E-2</v>
      </c>
      <c r="AQ8" s="74" t="s">
        <v>453</v>
      </c>
      <c r="AR8" s="51" t="s">
        <v>703</v>
      </c>
      <c r="AS8" s="39"/>
      <c r="AT8" s="95"/>
      <c r="AU8" s="41"/>
      <c r="AV8" s="42"/>
      <c r="AW8" s="40"/>
      <c r="AX8" s="47"/>
      <c r="AY8" s="39"/>
      <c r="AZ8" s="95"/>
      <c r="BA8" s="41"/>
      <c r="BB8" s="42"/>
      <c r="BC8" s="40"/>
      <c r="BD8" s="51"/>
      <c r="BE8" s="39"/>
      <c r="BF8" s="40"/>
      <c r="BG8" s="41"/>
      <c r="BH8" s="42"/>
      <c r="BI8" s="40"/>
      <c r="BJ8" s="52"/>
      <c r="BK8" s="42"/>
    </row>
    <row r="9" spans="1:63" x14ac:dyDescent="0.25">
      <c r="B9" s="105"/>
      <c r="C9" s="6">
        <v>2</v>
      </c>
      <c r="D9" s="35">
        <v>5</v>
      </c>
      <c r="E9" s="35" t="s">
        <v>33</v>
      </c>
      <c r="F9" s="113" t="s">
        <v>368</v>
      </c>
      <c r="G9" s="36">
        <f t="shared" si="0"/>
        <v>3.4030000000000014</v>
      </c>
      <c r="H9" s="20" t="s">
        <v>433</v>
      </c>
      <c r="I9" s="6">
        <v>3</v>
      </c>
      <c r="J9" s="6">
        <v>9</v>
      </c>
      <c r="K9" s="21">
        <v>32</v>
      </c>
      <c r="L9" s="22">
        <f t="shared" si="2"/>
        <v>44</v>
      </c>
      <c r="M9" s="117">
        <v>0</v>
      </c>
      <c r="N9" s="5">
        <f>0.368+0.164+0.474</f>
        <v>1.006</v>
      </c>
      <c r="O9" s="5">
        <v>0.158</v>
      </c>
      <c r="P9" s="5">
        <v>0.107</v>
      </c>
      <c r="Q9" s="90">
        <f>18.446-16.314</f>
        <v>2.1320000000000014</v>
      </c>
      <c r="R9" s="24"/>
      <c r="S9" s="25">
        <f t="shared" si="1"/>
        <v>0</v>
      </c>
      <c r="T9" s="82">
        <f t="shared" si="1"/>
        <v>29.562151043197165</v>
      </c>
      <c r="U9" s="82">
        <f t="shared" si="1"/>
        <v>4.6429620922715236</v>
      </c>
      <c r="V9" s="82">
        <f t="shared" si="1"/>
        <v>3.1442844548927402</v>
      </c>
      <c r="W9" s="82">
        <f t="shared" si="1"/>
        <v>62.650602409638566</v>
      </c>
      <c r="X9" s="27"/>
      <c r="Y9" s="82"/>
      <c r="Z9" s="25"/>
      <c r="AA9" s="82"/>
      <c r="AB9" s="90" t="s">
        <v>454</v>
      </c>
      <c r="AC9" s="90" t="s">
        <v>457</v>
      </c>
      <c r="AD9" s="5" t="s">
        <v>456</v>
      </c>
      <c r="AE9" s="24" t="s">
        <v>455</v>
      </c>
      <c r="AF9" s="28"/>
      <c r="AG9" s="29" t="s">
        <v>95</v>
      </c>
      <c r="AH9" s="2" t="str">
        <f t="shared" si="3"/>
        <v xml:space="preserve"> ,1021</v>
      </c>
      <c r="AI9" s="30" t="s">
        <v>99</v>
      </c>
      <c r="AJ9" s="5">
        <v>0.36799999999999999</v>
      </c>
      <c r="AK9" s="2" t="s">
        <v>453</v>
      </c>
      <c r="AL9" s="3" t="s">
        <v>703</v>
      </c>
      <c r="AM9" s="29" t="s">
        <v>96</v>
      </c>
      <c r="AN9" s="2" t="str">
        <f t="shared" si="4"/>
        <v xml:space="preserve"> ,1021</v>
      </c>
      <c r="AO9" s="30" t="s">
        <v>99</v>
      </c>
      <c r="AP9" s="5">
        <v>0.16400000000000001</v>
      </c>
      <c r="AQ9" s="2" t="s">
        <v>453</v>
      </c>
      <c r="AR9" s="3" t="s">
        <v>703</v>
      </c>
      <c r="AS9" s="29" t="s">
        <v>114</v>
      </c>
      <c r="AT9" s="2" t="str">
        <f>AN9</f>
        <v xml:space="preserve"> ,1021</v>
      </c>
      <c r="AU9" s="30" t="s">
        <v>99</v>
      </c>
      <c r="AV9" s="5">
        <v>0.47399999999999998</v>
      </c>
      <c r="AW9" s="2" t="s">
        <v>453</v>
      </c>
      <c r="AX9" s="5" t="s">
        <v>703</v>
      </c>
      <c r="AY9" s="45"/>
      <c r="AZ9" s="4"/>
      <c r="BA9" s="30"/>
      <c r="BB9" s="5"/>
      <c r="BE9" s="29"/>
      <c r="BG9" s="30"/>
      <c r="BH9" s="5"/>
      <c r="BJ9" s="46"/>
      <c r="BK9" s="5"/>
    </row>
    <row r="10" spans="1:63" s="40" customFormat="1" x14ac:dyDescent="0.25">
      <c r="B10" s="108"/>
      <c r="C10" s="35">
        <v>2</v>
      </c>
      <c r="D10" s="19">
        <v>6</v>
      </c>
      <c r="E10" s="19" t="s">
        <v>34</v>
      </c>
      <c r="F10" s="113" t="s">
        <v>369</v>
      </c>
      <c r="G10" s="36">
        <f t="shared" si="0"/>
        <v>2.8520000000000003</v>
      </c>
      <c r="H10" s="20" t="s">
        <v>433</v>
      </c>
      <c r="I10" s="47">
        <v>1</v>
      </c>
      <c r="J10" s="47">
        <v>10</v>
      </c>
      <c r="K10" s="48">
        <v>38</v>
      </c>
      <c r="L10" s="22">
        <f t="shared" si="2"/>
        <v>49</v>
      </c>
      <c r="M10" s="121">
        <v>0</v>
      </c>
      <c r="N10" s="42">
        <v>0.36</v>
      </c>
      <c r="O10" s="42">
        <v>0.14000000000000001</v>
      </c>
      <c r="P10" s="42">
        <v>0.154</v>
      </c>
      <c r="Q10" s="91">
        <f>18.262-16.064</f>
        <v>2.1980000000000004</v>
      </c>
      <c r="R10" s="49"/>
      <c r="S10" s="25">
        <f t="shared" si="1"/>
        <v>0</v>
      </c>
      <c r="T10" s="82">
        <f t="shared" si="1"/>
        <v>12.622720897615705</v>
      </c>
      <c r="U10" s="82">
        <f t="shared" si="1"/>
        <v>4.9088359046283312</v>
      </c>
      <c r="V10" s="82">
        <f t="shared" si="1"/>
        <v>5.3997194950911629</v>
      </c>
      <c r="W10" s="82">
        <f t="shared" si="1"/>
        <v>77.068723702664798</v>
      </c>
      <c r="X10" s="27"/>
      <c r="Y10" s="82"/>
      <c r="Z10" s="25"/>
      <c r="AA10" s="82"/>
      <c r="AB10" s="91" t="s">
        <v>461</v>
      </c>
      <c r="AC10" s="91" t="s">
        <v>460</v>
      </c>
      <c r="AD10" s="42" t="s">
        <v>459</v>
      </c>
      <c r="AE10" s="49" t="s">
        <v>782</v>
      </c>
      <c r="AF10" s="50"/>
      <c r="AG10" s="39" t="s">
        <v>95</v>
      </c>
      <c r="AH10" s="40" t="str">
        <f t="shared" si="3"/>
        <v xml:space="preserve"> ,1025</v>
      </c>
      <c r="AI10" s="30" t="s">
        <v>99</v>
      </c>
      <c r="AJ10" s="42">
        <v>0.36</v>
      </c>
      <c r="AK10" s="40" t="s">
        <v>453</v>
      </c>
      <c r="AL10" s="51" t="s">
        <v>703</v>
      </c>
      <c r="AM10" s="39"/>
      <c r="AO10" s="30"/>
      <c r="AP10" s="42"/>
      <c r="AR10" s="51"/>
      <c r="AS10" s="39"/>
      <c r="AU10" s="30"/>
      <c r="AV10" s="42"/>
      <c r="AX10" s="47"/>
      <c r="AY10" s="39"/>
      <c r="BA10" s="41"/>
      <c r="BB10" s="42"/>
      <c r="BD10" s="51"/>
      <c r="BE10" s="39"/>
      <c r="BG10" s="41"/>
      <c r="BH10" s="42"/>
      <c r="BJ10" s="52"/>
      <c r="BK10" s="42"/>
    </row>
    <row r="11" spans="1:63" s="2" customFormat="1" x14ac:dyDescent="0.25">
      <c r="B11" s="105">
        <v>44692</v>
      </c>
      <c r="C11" s="6">
        <v>2</v>
      </c>
      <c r="D11" s="35">
        <v>7</v>
      </c>
      <c r="E11" s="35" t="s">
        <v>35</v>
      </c>
      <c r="F11" s="113" t="s">
        <v>370</v>
      </c>
      <c r="G11" s="36">
        <f t="shared" si="0"/>
        <v>3.5599999999999996</v>
      </c>
      <c r="H11" s="20" t="s">
        <v>433</v>
      </c>
      <c r="I11" s="6" t="s">
        <v>434</v>
      </c>
      <c r="J11" s="6">
        <v>14</v>
      </c>
      <c r="K11" s="21">
        <v>64</v>
      </c>
      <c r="L11" s="22">
        <f t="shared" si="2"/>
        <v>78</v>
      </c>
      <c r="M11" s="117">
        <v>0</v>
      </c>
      <c r="N11" s="118">
        <v>0</v>
      </c>
      <c r="O11" s="5">
        <v>0.27500000000000002</v>
      </c>
      <c r="P11" s="5">
        <v>0.251</v>
      </c>
      <c r="Q11" s="90">
        <v>3.0339999999999998</v>
      </c>
      <c r="R11" s="24"/>
      <c r="S11" s="25">
        <f t="shared" si="1"/>
        <v>0</v>
      </c>
      <c r="T11" s="82">
        <f t="shared" si="1"/>
        <v>0</v>
      </c>
      <c r="U11" s="82">
        <f t="shared" si="1"/>
        <v>7.7247191011235961</v>
      </c>
      <c r="V11" s="82">
        <f t="shared" si="1"/>
        <v>7.0505617977528097</v>
      </c>
      <c r="W11" s="82">
        <f t="shared" si="1"/>
        <v>85.224719101123597</v>
      </c>
      <c r="X11" s="27"/>
      <c r="Y11" s="82"/>
      <c r="Z11" s="25"/>
      <c r="AA11" s="82"/>
      <c r="AB11" s="90"/>
      <c r="AC11" s="90" t="s">
        <v>783</v>
      </c>
      <c r="AD11" s="5" t="s">
        <v>784</v>
      </c>
      <c r="AE11" s="24" t="s">
        <v>785</v>
      </c>
      <c r="AF11" s="28"/>
      <c r="AG11" s="29"/>
      <c r="AH11" s="4"/>
      <c r="AI11" s="30"/>
      <c r="AJ11" s="5"/>
      <c r="AL11" s="31"/>
      <c r="AM11" s="29"/>
      <c r="AN11" s="4"/>
      <c r="AO11" s="30"/>
      <c r="AP11" s="5"/>
      <c r="AR11" s="31"/>
      <c r="AS11" s="29"/>
      <c r="AU11" s="30"/>
      <c r="AV11" s="5"/>
      <c r="AX11" s="6"/>
      <c r="AY11" s="29"/>
      <c r="BA11" s="30"/>
      <c r="BB11" s="5"/>
      <c r="BD11" s="31"/>
      <c r="BE11" s="29"/>
      <c r="BG11" s="30"/>
      <c r="BH11" s="5"/>
      <c r="BJ11" s="37"/>
      <c r="BK11" s="5"/>
    </row>
    <row r="12" spans="1:63" s="2" customFormat="1" x14ac:dyDescent="0.25">
      <c r="B12" s="109"/>
      <c r="C12" s="35">
        <v>2</v>
      </c>
      <c r="D12" s="35">
        <v>8</v>
      </c>
      <c r="E12" s="35" t="s">
        <v>36</v>
      </c>
      <c r="F12" s="113" t="s">
        <v>371</v>
      </c>
      <c r="G12" s="36">
        <f t="shared" si="0"/>
        <v>3.42</v>
      </c>
      <c r="H12" s="20" t="s">
        <v>433</v>
      </c>
      <c r="I12" s="6">
        <v>3</v>
      </c>
      <c r="J12" s="6">
        <v>8</v>
      </c>
      <c r="K12" s="21">
        <v>40</v>
      </c>
      <c r="L12" s="22">
        <f t="shared" si="2"/>
        <v>51</v>
      </c>
      <c r="M12" s="117">
        <v>0</v>
      </c>
      <c r="N12" s="5">
        <f>0.13+0.072+0.068</f>
        <v>0.27</v>
      </c>
      <c r="O12" s="5">
        <f>0.118+0.045</f>
        <v>0.16299999999999998</v>
      </c>
      <c r="P12" s="5">
        <v>0.17599999999999999</v>
      </c>
      <c r="Q12" s="90">
        <v>2.8109999999999999</v>
      </c>
      <c r="R12" s="24"/>
      <c r="S12" s="25">
        <f t="shared" si="1"/>
        <v>0</v>
      </c>
      <c r="T12" s="82">
        <f t="shared" si="1"/>
        <v>7.8947368421052637</v>
      </c>
      <c r="U12" s="82">
        <f t="shared" si="1"/>
        <v>4.7660818713450288</v>
      </c>
      <c r="V12" s="82">
        <f t="shared" si="1"/>
        <v>5.1461988304093564</v>
      </c>
      <c r="W12" s="82">
        <f t="shared" si="1"/>
        <v>82.192982456140356</v>
      </c>
      <c r="X12" s="27"/>
      <c r="Y12" s="82"/>
      <c r="Z12" s="25"/>
      <c r="AA12" s="82"/>
      <c r="AB12" s="90" t="s">
        <v>693</v>
      </c>
      <c r="AC12" s="90" t="s">
        <v>786</v>
      </c>
      <c r="AD12" s="5" t="s">
        <v>789</v>
      </c>
      <c r="AE12" s="24" t="s">
        <v>787</v>
      </c>
      <c r="AF12" s="28"/>
      <c r="AG12" s="29" t="s">
        <v>95</v>
      </c>
      <c r="AH12" s="95" t="str">
        <f t="shared" si="3"/>
        <v xml:space="preserve"> ,1032</v>
      </c>
      <c r="AI12" s="30" t="s">
        <v>99</v>
      </c>
      <c r="AJ12" s="42">
        <v>0.13</v>
      </c>
      <c r="AK12" s="40" t="s">
        <v>453</v>
      </c>
      <c r="AL12" s="31" t="s">
        <v>703</v>
      </c>
      <c r="AM12" s="39" t="s">
        <v>96</v>
      </c>
      <c r="AN12" s="95" t="str">
        <f t="shared" si="4"/>
        <v xml:space="preserve"> ,1032</v>
      </c>
      <c r="AO12" s="30" t="s">
        <v>99</v>
      </c>
      <c r="AP12" s="42">
        <v>7.1999999999999995E-2</v>
      </c>
      <c r="AQ12" s="40" t="s">
        <v>453</v>
      </c>
      <c r="AR12" s="31" t="s">
        <v>703</v>
      </c>
      <c r="AS12" s="39" t="s">
        <v>114</v>
      </c>
      <c r="AT12" s="95" t="str">
        <f>AN12</f>
        <v xml:space="preserve"> ,1032</v>
      </c>
      <c r="AU12" s="30" t="s">
        <v>99</v>
      </c>
      <c r="AV12" s="5">
        <v>6.8000000000000005E-2</v>
      </c>
      <c r="AW12" s="40" t="s">
        <v>453</v>
      </c>
      <c r="AX12" s="236" t="s">
        <v>703</v>
      </c>
      <c r="AY12" s="187"/>
      <c r="AZ12" s="188"/>
      <c r="BA12" s="189"/>
      <c r="BB12" s="76"/>
      <c r="BC12" s="235"/>
      <c r="BD12" s="237"/>
      <c r="BE12" s="29"/>
      <c r="BG12" s="30"/>
      <c r="BH12" s="5"/>
      <c r="BJ12" s="37"/>
      <c r="BK12" s="5"/>
    </row>
    <row r="13" spans="1:63" s="2" customFormat="1" x14ac:dyDescent="0.25">
      <c r="B13" s="105"/>
      <c r="C13" s="35">
        <v>2</v>
      </c>
      <c r="D13" s="35">
        <v>9</v>
      </c>
      <c r="E13" s="6" t="s">
        <v>37</v>
      </c>
      <c r="F13" s="113" t="s">
        <v>373</v>
      </c>
      <c r="G13" s="36">
        <f t="shared" si="0"/>
        <v>2.6440000000000001</v>
      </c>
      <c r="H13" s="20" t="s">
        <v>433</v>
      </c>
      <c r="I13" s="6" t="s">
        <v>434</v>
      </c>
      <c r="J13" s="6">
        <v>5</v>
      </c>
      <c r="K13" s="21">
        <v>22</v>
      </c>
      <c r="L13" s="22">
        <f t="shared" si="2"/>
        <v>27</v>
      </c>
      <c r="M13" s="117">
        <v>0</v>
      </c>
      <c r="N13" s="118">
        <v>0</v>
      </c>
      <c r="O13" s="5">
        <v>0.10199999999999999</v>
      </c>
      <c r="P13" s="5">
        <v>7.3999999999999996E-2</v>
      </c>
      <c r="Q13" s="90">
        <v>2.468</v>
      </c>
      <c r="R13" s="24"/>
      <c r="S13" s="25">
        <f t="shared" si="1"/>
        <v>0</v>
      </c>
      <c r="T13" s="82">
        <f t="shared" si="1"/>
        <v>0</v>
      </c>
      <c r="U13" s="82">
        <f t="shared" si="1"/>
        <v>3.8577912254160358</v>
      </c>
      <c r="V13" s="82">
        <f t="shared" si="1"/>
        <v>2.798789712556732</v>
      </c>
      <c r="W13" s="82">
        <f t="shared" si="1"/>
        <v>93.343419062027223</v>
      </c>
      <c r="X13" s="27"/>
      <c r="Y13" s="82"/>
      <c r="Z13" s="25"/>
      <c r="AA13" s="82"/>
      <c r="AB13" s="90"/>
      <c r="AC13" s="90" t="s">
        <v>475</v>
      </c>
      <c r="AD13" s="5" t="s">
        <v>476</v>
      </c>
      <c r="AE13" s="24" t="s">
        <v>477</v>
      </c>
      <c r="AF13" s="53"/>
      <c r="AG13" s="29"/>
      <c r="AI13" s="30"/>
      <c r="AJ13" s="5"/>
      <c r="AL13" s="31"/>
      <c r="AM13" s="29"/>
      <c r="AO13" s="30"/>
      <c r="AP13" s="5"/>
      <c r="AR13" s="31"/>
      <c r="AS13" s="29"/>
      <c r="AU13" s="30"/>
      <c r="AV13" s="5"/>
      <c r="AW13" s="38"/>
      <c r="AX13" s="6"/>
      <c r="AY13" s="29"/>
      <c r="BA13" s="30"/>
      <c r="BB13" s="5"/>
      <c r="BD13" s="31"/>
      <c r="BE13" s="29"/>
      <c r="BG13" s="30"/>
      <c r="BH13" s="5"/>
      <c r="BJ13" s="37"/>
      <c r="BK13" s="5"/>
    </row>
    <row r="14" spans="1:63" x14ac:dyDescent="0.25">
      <c r="B14" s="105"/>
      <c r="C14" s="19">
        <v>2</v>
      </c>
      <c r="D14" s="35">
        <v>10</v>
      </c>
      <c r="E14" s="35" t="s">
        <v>38</v>
      </c>
      <c r="F14" s="115" t="s">
        <v>374</v>
      </c>
      <c r="G14" s="36">
        <f t="shared" si="0"/>
        <v>2.0869999999999984</v>
      </c>
      <c r="H14" s="20" t="s">
        <v>433</v>
      </c>
      <c r="I14" s="6" t="s">
        <v>433</v>
      </c>
      <c r="J14" s="6">
        <v>10</v>
      </c>
      <c r="K14" s="21">
        <v>22</v>
      </c>
      <c r="L14" s="22">
        <f t="shared" si="2"/>
        <v>32</v>
      </c>
      <c r="M14" s="117">
        <v>0</v>
      </c>
      <c r="N14" s="118">
        <v>0</v>
      </c>
      <c r="O14" s="5">
        <v>0.17799999999999999</v>
      </c>
      <c r="P14" s="5">
        <v>7.2999999999999995E-2</v>
      </c>
      <c r="Q14" s="90">
        <f>18.02-16.184</f>
        <v>1.8359999999999985</v>
      </c>
      <c r="R14" s="24"/>
      <c r="S14" s="25">
        <f t="shared" si="1"/>
        <v>0</v>
      </c>
      <c r="T14" s="82">
        <f t="shared" si="1"/>
        <v>0</v>
      </c>
      <c r="U14" s="82">
        <f t="shared" si="1"/>
        <v>8.5289889793962672</v>
      </c>
      <c r="V14" s="82">
        <f t="shared" si="1"/>
        <v>3.4978437949209416</v>
      </c>
      <c r="W14" s="82">
        <f t="shared" si="1"/>
        <v>87.973167225682786</v>
      </c>
      <c r="X14" s="27"/>
      <c r="Y14" s="82"/>
      <c r="Z14" s="25"/>
      <c r="AA14" s="82"/>
      <c r="AB14" s="90"/>
      <c r="AC14" s="90" t="s">
        <v>472</v>
      </c>
      <c r="AD14" s="5" t="s">
        <v>473</v>
      </c>
      <c r="AE14" s="24" t="s">
        <v>474</v>
      </c>
      <c r="AF14" s="53"/>
      <c r="AG14" s="29"/>
      <c r="AI14" s="30"/>
      <c r="AJ14" s="5"/>
      <c r="AL14" s="31"/>
      <c r="AM14" s="29"/>
      <c r="AO14" s="30"/>
      <c r="AP14" s="5"/>
      <c r="AQ14" s="2"/>
      <c r="AR14" s="31"/>
      <c r="AS14" s="29"/>
      <c r="AU14" s="30"/>
      <c r="AV14" s="5"/>
      <c r="AW14" s="2"/>
      <c r="AX14" s="6"/>
      <c r="AY14" s="29"/>
      <c r="BA14" s="30"/>
      <c r="BB14" s="5"/>
      <c r="BC14" s="2"/>
      <c r="BD14" s="31"/>
      <c r="BE14" s="29"/>
      <c r="BG14" s="30"/>
      <c r="BH14" s="5"/>
      <c r="BJ14" s="37"/>
      <c r="BK14" s="5"/>
    </row>
    <row r="15" spans="1:63" x14ac:dyDescent="0.25">
      <c r="B15" s="105">
        <v>44693</v>
      </c>
      <c r="C15" s="6">
        <v>2</v>
      </c>
      <c r="D15" s="35">
        <v>11</v>
      </c>
      <c r="E15" s="35" t="s">
        <v>39</v>
      </c>
      <c r="F15" s="113" t="s">
        <v>375</v>
      </c>
      <c r="G15" s="36">
        <f t="shared" si="0"/>
        <v>2.2839999999999998</v>
      </c>
      <c r="H15" s="20" t="s">
        <v>433</v>
      </c>
      <c r="I15" s="6" t="s">
        <v>433</v>
      </c>
      <c r="J15" s="6">
        <v>2</v>
      </c>
      <c r="K15" s="21">
        <v>40</v>
      </c>
      <c r="L15" s="22">
        <f t="shared" si="2"/>
        <v>42</v>
      </c>
      <c r="M15" s="117">
        <v>0</v>
      </c>
      <c r="N15" s="118">
        <v>0</v>
      </c>
      <c r="O15" s="5">
        <v>4.2000000000000003E-2</v>
      </c>
      <c r="P15" s="5">
        <v>0.16800000000000001</v>
      </c>
      <c r="Q15" s="90">
        <v>2.0739999999999998</v>
      </c>
      <c r="R15" s="24"/>
      <c r="S15" s="25">
        <f t="shared" si="1"/>
        <v>0</v>
      </c>
      <c r="T15" s="82">
        <f t="shared" si="1"/>
        <v>0</v>
      </c>
      <c r="U15" s="82">
        <f t="shared" si="1"/>
        <v>1.8388791593695275</v>
      </c>
      <c r="V15" s="82">
        <f t="shared" si="1"/>
        <v>7.35551663747811</v>
      </c>
      <c r="W15" s="82">
        <f t="shared" si="1"/>
        <v>90.80560420315237</v>
      </c>
      <c r="X15" s="27"/>
      <c r="Y15" s="82"/>
      <c r="Z15" s="25"/>
      <c r="AA15" s="82"/>
      <c r="AB15" s="90"/>
      <c r="AC15" s="90" t="s">
        <v>469</v>
      </c>
      <c r="AD15" s="5" t="s">
        <v>470</v>
      </c>
      <c r="AE15" s="24" t="s">
        <v>471</v>
      </c>
      <c r="AF15" s="53"/>
      <c r="AG15" s="29"/>
      <c r="AH15" s="95"/>
      <c r="AI15" s="30"/>
      <c r="AJ15" s="42"/>
      <c r="AK15" s="40"/>
      <c r="AL15" s="31"/>
      <c r="AM15" s="39"/>
      <c r="AN15" s="95"/>
      <c r="AO15" s="30"/>
      <c r="AP15" s="5"/>
      <c r="AQ15" s="40"/>
      <c r="AR15" s="31"/>
      <c r="AS15" s="29"/>
      <c r="AU15" s="30"/>
      <c r="AV15" s="5"/>
      <c r="AW15" s="38"/>
      <c r="AX15" s="6"/>
      <c r="AY15" s="29"/>
      <c r="AZ15" s="40"/>
      <c r="BA15" s="30"/>
      <c r="BB15" s="5"/>
      <c r="BC15" s="40"/>
      <c r="BD15" s="31"/>
      <c r="BE15" s="29"/>
      <c r="BF15" s="40"/>
      <c r="BG15" s="30"/>
      <c r="BH15" s="5"/>
      <c r="BI15" s="40"/>
      <c r="BJ15" s="37"/>
      <c r="BK15" s="5"/>
    </row>
    <row r="16" spans="1:63" x14ac:dyDescent="0.25">
      <c r="B16" s="109"/>
      <c r="C16" s="35">
        <v>2</v>
      </c>
      <c r="D16" s="35">
        <v>12</v>
      </c>
      <c r="E16" s="35" t="s">
        <v>40</v>
      </c>
      <c r="F16" s="113" t="s">
        <v>376</v>
      </c>
      <c r="G16" s="36">
        <f t="shared" si="0"/>
        <v>1.6040000000000001</v>
      </c>
      <c r="H16" s="20" t="s">
        <v>433</v>
      </c>
      <c r="I16" s="6" t="s">
        <v>433</v>
      </c>
      <c r="J16" s="6">
        <v>1</v>
      </c>
      <c r="K16" s="21">
        <v>27</v>
      </c>
      <c r="L16" s="22">
        <f t="shared" si="2"/>
        <v>28</v>
      </c>
      <c r="M16" s="117">
        <v>0</v>
      </c>
      <c r="N16" s="118">
        <v>0</v>
      </c>
      <c r="O16" s="5">
        <v>3.2000000000000001E-2</v>
      </c>
      <c r="P16" s="5">
        <v>9.8000000000000004E-2</v>
      </c>
      <c r="Q16" s="90">
        <v>1.474</v>
      </c>
      <c r="R16" s="24"/>
      <c r="S16" s="25">
        <f t="shared" si="1"/>
        <v>0</v>
      </c>
      <c r="T16" s="82">
        <f t="shared" si="1"/>
        <v>0</v>
      </c>
      <c r="U16" s="82">
        <f t="shared" si="1"/>
        <v>1.99501246882793</v>
      </c>
      <c r="V16" s="82">
        <f t="shared" si="1"/>
        <v>6.109725685785536</v>
      </c>
      <c r="W16" s="82">
        <f t="shared" si="1"/>
        <v>91.895261845386528</v>
      </c>
      <c r="X16" s="27"/>
      <c r="Y16" s="82"/>
      <c r="Z16" s="25"/>
      <c r="AA16" s="82"/>
      <c r="AB16" s="90"/>
      <c r="AC16" s="90" t="s">
        <v>466</v>
      </c>
      <c r="AD16" s="5" t="s">
        <v>467</v>
      </c>
      <c r="AE16" s="24" t="s">
        <v>468</v>
      </c>
      <c r="AF16" s="28"/>
      <c r="AG16" s="29"/>
      <c r="AH16" s="95"/>
      <c r="AI16" s="30"/>
      <c r="AJ16" s="42"/>
      <c r="AK16" s="40"/>
      <c r="AM16" s="39"/>
      <c r="AN16" s="95"/>
      <c r="AO16" s="30"/>
      <c r="AP16" s="5"/>
      <c r="AQ16" s="40"/>
      <c r="AS16" s="29"/>
      <c r="AT16" s="4"/>
      <c r="AU16" s="30"/>
      <c r="AV16" s="5"/>
      <c r="AW16" s="2"/>
      <c r="AY16" s="29"/>
      <c r="AZ16" s="4"/>
      <c r="BA16" s="30"/>
      <c r="BB16" s="5"/>
      <c r="BC16" s="2"/>
      <c r="BE16" s="29"/>
      <c r="BG16" s="30"/>
      <c r="BH16" s="5"/>
      <c r="BJ16" s="46"/>
      <c r="BK16" s="5"/>
    </row>
    <row r="17" spans="2:64" x14ac:dyDescent="0.25">
      <c r="B17" s="105"/>
      <c r="C17" s="6">
        <v>2</v>
      </c>
      <c r="D17" s="35">
        <v>13</v>
      </c>
      <c r="E17" s="35" t="s">
        <v>41</v>
      </c>
      <c r="F17" s="113" t="s">
        <v>377</v>
      </c>
      <c r="G17" s="36">
        <f t="shared" si="0"/>
        <v>2.3860000000000001</v>
      </c>
      <c r="H17" s="20" t="s">
        <v>433</v>
      </c>
      <c r="I17" s="6">
        <v>3</v>
      </c>
      <c r="J17" s="6">
        <v>4</v>
      </c>
      <c r="K17" s="21">
        <v>25</v>
      </c>
      <c r="L17" s="22">
        <f t="shared" si="2"/>
        <v>32</v>
      </c>
      <c r="M17" s="117">
        <v>0</v>
      </c>
      <c r="N17" s="5">
        <f>0.131+0.092+0.193</f>
        <v>0.41600000000000004</v>
      </c>
      <c r="O17" s="5">
        <v>5.2999999999999999E-2</v>
      </c>
      <c r="P17" s="5">
        <v>0.1</v>
      </c>
      <c r="Q17" s="90">
        <v>1.8169999999999999</v>
      </c>
      <c r="R17" s="24"/>
      <c r="S17" s="25">
        <f t="shared" si="1"/>
        <v>0</v>
      </c>
      <c r="T17" s="82">
        <f t="shared" si="1"/>
        <v>17.435037720033531</v>
      </c>
      <c r="U17" s="82">
        <f t="shared" si="1"/>
        <v>2.221290863369656</v>
      </c>
      <c r="V17" s="82">
        <f t="shared" si="1"/>
        <v>4.1911148365465216</v>
      </c>
      <c r="W17" s="82">
        <f t="shared" si="1"/>
        <v>76.152556580050287</v>
      </c>
      <c r="X17" s="27"/>
      <c r="Y17" s="82"/>
      <c r="Z17" s="25"/>
      <c r="AA17" s="82"/>
      <c r="AB17" s="90" t="s">
        <v>462</v>
      </c>
      <c r="AC17" s="90" t="s">
        <v>463</v>
      </c>
      <c r="AD17" s="5" t="s">
        <v>464</v>
      </c>
      <c r="AE17" s="24" t="s">
        <v>465</v>
      </c>
      <c r="AF17" s="28"/>
      <c r="AG17" s="29" t="s">
        <v>95</v>
      </c>
      <c r="AH17" s="4" t="str">
        <f t="shared" ref="AH17:AH27" si="5">AB17</f>
        <v xml:space="preserve"> ,1048</v>
      </c>
      <c r="AI17" s="30" t="s">
        <v>99</v>
      </c>
      <c r="AJ17" s="5">
        <v>0.13100000000000001</v>
      </c>
      <c r="AK17" s="40" t="s">
        <v>453</v>
      </c>
      <c r="AL17" s="3" t="s">
        <v>703</v>
      </c>
      <c r="AM17" s="29" t="s">
        <v>96</v>
      </c>
      <c r="AN17" s="122" t="str">
        <f>AH17</f>
        <v xml:space="preserve"> ,1048</v>
      </c>
      <c r="AO17" s="30" t="s">
        <v>99</v>
      </c>
      <c r="AP17" s="5">
        <v>9.1999999999999998E-2</v>
      </c>
      <c r="AQ17" s="40" t="s">
        <v>453</v>
      </c>
      <c r="AR17" s="3" t="s">
        <v>703</v>
      </c>
      <c r="AS17" s="29" t="s">
        <v>114</v>
      </c>
      <c r="AT17" s="4" t="str">
        <f>AN17</f>
        <v xml:space="preserve"> ,1048</v>
      </c>
      <c r="AU17" s="30" t="s">
        <v>99</v>
      </c>
      <c r="AV17" s="5">
        <v>0.193</v>
      </c>
      <c r="AW17" s="2" t="s">
        <v>453</v>
      </c>
      <c r="AX17" s="5" t="s">
        <v>703</v>
      </c>
      <c r="AY17" s="29"/>
      <c r="BA17" s="30"/>
      <c r="BB17" s="5"/>
      <c r="BC17" s="2"/>
      <c r="BE17" s="29"/>
      <c r="BG17" s="30"/>
      <c r="BH17" s="5"/>
      <c r="BJ17" s="46"/>
      <c r="BK17" s="5"/>
    </row>
    <row r="18" spans="2:64" x14ac:dyDescent="0.25">
      <c r="B18" s="105"/>
      <c r="C18" s="35">
        <v>2</v>
      </c>
      <c r="D18" s="35">
        <v>14</v>
      </c>
      <c r="E18" s="35" t="s">
        <v>42</v>
      </c>
      <c r="F18" s="113" t="s">
        <v>378</v>
      </c>
      <c r="G18" s="36">
        <f t="shared" si="0"/>
        <v>2.8259999999999974</v>
      </c>
      <c r="H18" s="20" t="s">
        <v>433</v>
      </c>
      <c r="I18" s="6">
        <v>1</v>
      </c>
      <c r="J18" s="6">
        <v>5</v>
      </c>
      <c r="K18" s="21">
        <v>35</v>
      </c>
      <c r="L18" s="22">
        <f t="shared" si="2"/>
        <v>41</v>
      </c>
      <c r="M18" s="117">
        <v>0</v>
      </c>
      <c r="N18" s="5">
        <f>0.266</f>
        <v>0.26600000000000001</v>
      </c>
      <c r="O18" s="5">
        <f>0.036+0.046+0.027</f>
        <v>0.10899999999999999</v>
      </c>
      <c r="P18" s="5">
        <v>0.14499999999999999</v>
      </c>
      <c r="Q18" s="90">
        <f>18.307-16.001</f>
        <v>2.3059999999999974</v>
      </c>
      <c r="R18" s="24"/>
      <c r="S18" s="25">
        <f t="shared" si="1"/>
        <v>0</v>
      </c>
      <c r="T18" s="82">
        <f t="shared" si="1"/>
        <v>9.4125973106864915</v>
      </c>
      <c r="U18" s="82">
        <f t="shared" si="1"/>
        <v>3.8570417551309299</v>
      </c>
      <c r="V18" s="82">
        <f t="shared" si="1"/>
        <v>5.1309271054494028</v>
      </c>
      <c r="W18" s="82">
        <f t="shared" si="1"/>
        <v>81.599433828733169</v>
      </c>
      <c r="X18" s="27"/>
      <c r="Y18" s="82"/>
      <c r="Z18" s="25"/>
      <c r="AA18" s="82"/>
      <c r="AB18" s="90" t="s">
        <v>478</v>
      </c>
      <c r="AC18" s="90" t="s">
        <v>479</v>
      </c>
      <c r="AD18" s="5" t="s">
        <v>480</v>
      </c>
      <c r="AE18" s="24" t="s">
        <v>481</v>
      </c>
      <c r="AF18" s="28"/>
      <c r="AG18" s="187" t="s">
        <v>96</v>
      </c>
      <c r="AH18" s="188" t="str">
        <f t="shared" si="5"/>
        <v xml:space="preserve"> ,1052</v>
      </c>
      <c r="AI18" s="189" t="s">
        <v>99</v>
      </c>
      <c r="AJ18" s="76">
        <v>0.26600000000000001</v>
      </c>
      <c r="AK18" s="235" t="s">
        <v>453</v>
      </c>
      <c r="AL18" s="3" t="s">
        <v>703</v>
      </c>
      <c r="AM18" s="29"/>
      <c r="AN18" s="4"/>
      <c r="AO18" s="30"/>
      <c r="AP18" s="5"/>
      <c r="AQ18" s="2"/>
      <c r="AR18" s="190"/>
      <c r="AS18" s="187"/>
      <c r="AT18" s="188"/>
      <c r="AU18" s="189"/>
      <c r="AV18" s="76"/>
      <c r="AW18" s="235"/>
      <c r="AY18" s="29"/>
      <c r="BA18" s="30"/>
      <c r="BB18" s="5"/>
      <c r="BC18" s="2"/>
      <c r="BE18" s="29"/>
      <c r="BG18" s="30"/>
      <c r="BH18" s="5"/>
      <c r="BJ18" s="46"/>
      <c r="BK18" s="5"/>
    </row>
    <row r="19" spans="2:64" x14ac:dyDescent="0.25">
      <c r="B19" s="105">
        <v>44694</v>
      </c>
      <c r="C19" s="35">
        <v>2</v>
      </c>
      <c r="D19" s="6">
        <v>15</v>
      </c>
      <c r="E19" s="6" t="s">
        <v>43</v>
      </c>
      <c r="F19" s="113" t="s">
        <v>379</v>
      </c>
      <c r="G19" s="36">
        <f t="shared" si="0"/>
        <v>3.4510000000000001</v>
      </c>
      <c r="H19" s="20" t="s">
        <v>433</v>
      </c>
      <c r="I19" s="6">
        <v>1</v>
      </c>
      <c r="J19" s="6">
        <v>6</v>
      </c>
      <c r="K19" s="21">
        <v>42</v>
      </c>
      <c r="L19" s="22">
        <f t="shared" si="2"/>
        <v>49</v>
      </c>
      <c r="M19" s="117">
        <v>0</v>
      </c>
      <c r="N19" s="5">
        <v>0.14499999999999999</v>
      </c>
      <c r="O19" s="5">
        <v>0.109</v>
      </c>
      <c r="P19" s="5">
        <v>0.20899999999999999</v>
      </c>
      <c r="Q19" s="90">
        <v>2.988</v>
      </c>
      <c r="R19" s="24"/>
      <c r="S19" s="25">
        <f t="shared" si="1"/>
        <v>0</v>
      </c>
      <c r="T19" s="82">
        <f t="shared" si="1"/>
        <v>4.2016806722689068</v>
      </c>
      <c r="U19" s="82">
        <f t="shared" si="1"/>
        <v>3.1585047812228337</v>
      </c>
      <c r="V19" s="82">
        <f t="shared" si="1"/>
        <v>6.0562155896841485</v>
      </c>
      <c r="W19" s="82">
        <f t="shared" si="1"/>
        <v>86.583598956824105</v>
      </c>
      <c r="X19" s="27"/>
      <c r="Y19" s="82"/>
      <c r="Z19" s="25"/>
      <c r="AA19" s="82"/>
      <c r="AB19" s="90" t="s">
        <v>485</v>
      </c>
      <c r="AC19" s="90" t="s">
        <v>484</v>
      </c>
      <c r="AD19" s="5" t="s">
        <v>483</v>
      </c>
      <c r="AE19" s="24" t="s">
        <v>482</v>
      </c>
      <c r="AF19" s="53"/>
      <c r="AG19" s="29" t="s">
        <v>95</v>
      </c>
      <c r="AH19" s="4" t="str">
        <f t="shared" si="5"/>
        <v xml:space="preserve"> ,1056</v>
      </c>
      <c r="AI19" s="30" t="s">
        <v>99</v>
      </c>
      <c r="AJ19" s="5">
        <v>0.14499999999999999</v>
      </c>
      <c r="AK19" s="2" t="s">
        <v>453</v>
      </c>
      <c r="AL19" s="31" t="s">
        <v>703</v>
      </c>
      <c r="AM19" s="29"/>
      <c r="AO19" s="30"/>
      <c r="AP19" s="5"/>
      <c r="AQ19" s="2"/>
      <c r="AR19" s="31"/>
      <c r="AS19" s="29"/>
      <c r="AU19" s="30"/>
      <c r="AV19" s="5"/>
      <c r="AW19" s="2"/>
      <c r="AX19" s="6"/>
      <c r="AY19" s="29"/>
      <c r="BA19" s="30"/>
      <c r="BB19" s="5"/>
      <c r="BC19" s="2"/>
      <c r="BD19" s="31"/>
      <c r="BE19" s="29"/>
      <c r="BG19" s="30"/>
      <c r="BH19" s="5"/>
      <c r="BJ19" s="37"/>
      <c r="BK19" s="5"/>
    </row>
    <row r="20" spans="2:64" x14ac:dyDescent="0.25">
      <c r="B20" s="105"/>
      <c r="C20" s="19">
        <v>2</v>
      </c>
      <c r="D20" s="35">
        <v>16</v>
      </c>
      <c r="E20" s="35" t="s">
        <v>44</v>
      </c>
      <c r="F20" s="113" t="s">
        <v>380</v>
      </c>
      <c r="G20" s="36">
        <f t="shared" si="0"/>
        <v>3.17</v>
      </c>
      <c r="H20" s="20" t="s">
        <v>433</v>
      </c>
      <c r="I20" s="6">
        <v>1</v>
      </c>
      <c r="J20" s="6">
        <v>10</v>
      </c>
      <c r="K20" s="21">
        <v>41</v>
      </c>
      <c r="L20" s="22">
        <f t="shared" si="2"/>
        <v>52</v>
      </c>
      <c r="M20" s="117">
        <v>0</v>
      </c>
      <c r="N20" s="5">
        <f>0.116</f>
        <v>0.11600000000000001</v>
      </c>
      <c r="O20" s="5">
        <f>0.078+0.04+0.043+0.038+0.029</f>
        <v>0.22799999999999998</v>
      </c>
      <c r="P20" s="5">
        <v>0.16400000000000001</v>
      </c>
      <c r="Q20" s="90">
        <v>2.6619999999999999</v>
      </c>
      <c r="R20" s="24"/>
      <c r="S20" s="25">
        <f t="shared" si="1"/>
        <v>0</v>
      </c>
      <c r="T20" s="82">
        <f t="shared" si="1"/>
        <v>3.6593059936908521</v>
      </c>
      <c r="U20" s="82">
        <f t="shared" si="1"/>
        <v>7.1924290220820186</v>
      </c>
      <c r="V20" s="82">
        <f t="shared" si="1"/>
        <v>5.1735015772870669</v>
      </c>
      <c r="W20" s="82">
        <f t="shared" si="1"/>
        <v>83.97476340694007</v>
      </c>
      <c r="X20" s="27"/>
      <c r="Y20" s="82"/>
      <c r="Z20" s="25"/>
      <c r="AA20" s="82"/>
      <c r="AB20" s="90" t="s">
        <v>489</v>
      </c>
      <c r="AC20" s="90" t="s">
        <v>488</v>
      </c>
      <c r="AD20" s="5" t="s">
        <v>487</v>
      </c>
      <c r="AE20" s="24" t="s">
        <v>486</v>
      </c>
      <c r="AF20" s="28"/>
      <c r="AG20" s="29" t="s">
        <v>95</v>
      </c>
      <c r="AH20" s="4" t="str">
        <f t="shared" si="5"/>
        <v xml:space="preserve"> ,1060</v>
      </c>
      <c r="AI20" s="30" t="s">
        <v>99</v>
      </c>
      <c r="AJ20" s="5">
        <v>0.11600000000000001</v>
      </c>
      <c r="AK20" s="2" t="s">
        <v>453</v>
      </c>
      <c r="AL20" s="3" t="s">
        <v>703</v>
      </c>
      <c r="AM20" s="187"/>
      <c r="AN20" s="122"/>
      <c r="AO20" s="189"/>
      <c r="AP20" s="76"/>
      <c r="AQ20" s="74"/>
      <c r="AR20" s="190"/>
      <c r="AS20" s="187"/>
      <c r="AT20" s="188"/>
      <c r="AU20" s="189"/>
      <c r="AV20" s="76"/>
      <c r="AW20" s="235"/>
      <c r="AX20" s="76"/>
      <c r="AY20" s="187"/>
      <c r="AZ20" s="188"/>
      <c r="BA20" s="189"/>
      <c r="BB20" s="76"/>
      <c r="BC20" s="235"/>
      <c r="BD20" s="190"/>
      <c r="BE20" s="187"/>
      <c r="BF20" s="188"/>
      <c r="BG20" s="189"/>
      <c r="BH20" s="76"/>
      <c r="BI20" s="235"/>
      <c r="BJ20" s="238"/>
      <c r="BK20" s="76"/>
      <c r="BL20" s="239"/>
    </row>
    <row r="21" spans="2:64" x14ac:dyDescent="0.25">
      <c r="B21" s="105"/>
      <c r="C21" s="6">
        <v>2</v>
      </c>
      <c r="D21" s="35">
        <v>17</v>
      </c>
      <c r="E21" s="35" t="s">
        <v>45</v>
      </c>
      <c r="F21" s="113" t="s">
        <v>381</v>
      </c>
      <c r="G21" s="36">
        <f t="shared" si="0"/>
        <v>3.0709999999999997</v>
      </c>
      <c r="H21" s="20" t="s">
        <v>433</v>
      </c>
      <c r="I21" s="6">
        <v>4</v>
      </c>
      <c r="J21" s="6">
        <v>7</v>
      </c>
      <c r="K21" s="21">
        <v>34</v>
      </c>
      <c r="L21" s="22">
        <f t="shared" si="2"/>
        <v>45</v>
      </c>
      <c r="M21" s="117">
        <v>0</v>
      </c>
      <c r="N21" s="5">
        <f>0.092+0.09+0.143+0.055</f>
        <v>0.37999999999999995</v>
      </c>
      <c r="O21" s="5">
        <v>0.16400000000000001</v>
      </c>
      <c r="P21" s="5">
        <v>0.16300000000000001</v>
      </c>
      <c r="Q21" s="90">
        <v>2.3639999999999999</v>
      </c>
      <c r="R21" s="24"/>
      <c r="S21" s="25">
        <f t="shared" ref="S21:W52" si="6">M21/$G21*100</f>
        <v>0</v>
      </c>
      <c r="T21" s="82">
        <f t="shared" si="6"/>
        <v>12.373819602735264</v>
      </c>
      <c r="U21" s="82">
        <f t="shared" si="6"/>
        <v>5.3402800390752203</v>
      </c>
      <c r="V21" s="82">
        <f t="shared" si="6"/>
        <v>5.3077173559101274</v>
      </c>
      <c r="W21" s="82">
        <f t="shared" si="6"/>
        <v>76.978183002279394</v>
      </c>
      <c r="X21" s="27"/>
      <c r="Y21" s="82"/>
      <c r="Z21" s="25"/>
      <c r="AA21" s="82"/>
      <c r="AB21" s="90" t="s">
        <v>490</v>
      </c>
      <c r="AC21" s="90" t="s">
        <v>491</v>
      </c>
      <c r="AD21" s="5" t="s">
        <v>492</v>
      </c>
      <c r="AE21" s="24" t="s">
        <v>493</v>
      </c>
      <c r="AF21" s="28"/>
      <c r="AG21" s="29" t="s">
        <v>95</v>
      </c>
      <c r="AH21" s="4" t="str">
        <f t="shared" si="5"/>
        <v xml:space="preserve"> ,1064</v>
      </c>
      <c r="AI21" s="30" t="s">
        <v>99</v>
      </c>
      <c r="AJ21" s="5">
        <v>9.1999999999999998E-2</v>
      </c>
      <c r="AK21" s="2" t="s">
        <v>453</v>
      </c>
      <c r="AL21" s="3" t="s">
        <v>703</v>
      </c>
      <c r="AM21" s="29" t="s">
        <v>96</v>
      </c>
      <c r="AN21" s="4" t="str">
        <f>AH21</f>
        <v xml:space="preserve"> ,1064</v>
      </c>
      <c r="AO21" s="30" t="s">
        <v>99</v>
      </c>
      <c r="AP21" s="5">
        <v>0.09</v>
      </c>
      <c r="AQ21" s="2" t="s">
        <v>453</v>
      </c>
      <c r="AR21" s="3" t="s">
        <v>703</v>
      </c>
      <c r="AS21" s="29" t="s">
        <v>114</v>
      </c>
      <c r="AT21" s="4" t="str">
        <f>AN21</f>
        <v xml:space="preserve"> ,1064</v>
      </c>
      <c r="AU21" s="30" t="s">
        <v>99</v>
      </c>
      <c r="AV21" s="5">
        <v>0.14299999999999999</v>
      </c>
      <c r="AW21" s="2" t="s">
        <v>453</v>
      </c>
      <c r="AX21" s="5" t="s">
        <v>703</v>
      </c>
      <c r="AY21" s="29" t="s">
        <v>123</v>
      </c>
      <c r="AZ21" s="4" t="str">
        <f>AT21</f>
        <v xml:space="preserve"> ,1064</v>
      </c>
      <c r="BA21" s="30" t="s">
        <v>99</v>
      </c>
      <c r="BB21" s="5">
        <v>5.5E-2</v>
      </c>
      <c r="BC21" s="2" t="s">
        <v>453</v>
      </c>
      <c r="BD21" s="3" t="s">
        <v>703</v>
      </c>
      <c r="BE21" s="29"/>
      <c r="BG21" s="30"/>
      <c r="BH21" s="5"/>
      <c r="BJ21" s="46"/>
      <c r="BK21" s="5"/>
    </row>
    <row r="22" spans="2:64" x14ac:dyDescent="0.25">
      <c r="B22" s="105"/>
      <c r="C22" s="35">
        <v>2</v>
      </c>
      <c r="D22" s="35">
        <v>18</v>
      </c>
      <c r="E22" s="35" t="s">
        <v>46</v>
      </c>
      <c r="F22" s="113" t="s">
        <v>382</v>
      </c>
      <c r="G22" s="36">
        <f t="shared" si="0"/>
        <v>4.3489999999999966</v>
      </c>
      <c r="H22" s="20">
        <v>1</v>
      </c>
      <c r="I22" s="6" t="s">
        <v>433</v>
      </c>
      <c r="J22" s="6">
        <v>13</v>
      </c>
      <c r="K22" s="21">
        <v>36</v>
      </c>
      <c r="L22" s="22">
        <f t="shared" si="2"/>
        <v>50</v>
      </c>
      <c r="M22" s="23">
        <v>1.5860000000000001</v>
      </c>
      <c r="N22" s="118">
        <v>0</v>
      </c>
      <c r="O22" s="5">
        <v>0.16500000000000001</v>
      </c>
      <c r="P22" s="5">
        <v>0.11799999999999999</v>
      </c>
      <c r="Q22" s="90">
        <f>18.612-16.132</f>
        <v>2.4799999999999969</v>
      </c>
      <c r="R22" s="24"/>
      <c r="S22" s="25">
        <f t="shared" si="6"/>
        <v>36.468153598528431</v>
      </c>
      <c r="T22" s="82">
        <f t="shared" si="6"/>
        <v>0</v>
      </c>
      <c r="U22" s="82">
        <f t="shared" si="6"/>
        <v>3.7939756265808264</v>
      </c>
      <c r="V22" s="82">
        <f t="shared" si="6"/>
        <v>2.7132674177971965</v>
      </c>
      <c r="W22" s="82">
        <f t="shared" si="6"/>
        <v>57.024603357093561</v>
      </c>
      <c r="X22" s="27"/>
      <c r="Y22" s="82"/>
      <c r="Z22" s="25"/>
      <c r="AA22" s="82" t="s">
        <v>694</v>
      </c>
      <c r="AB22" s="90"/>
      <c r="AC22" s="90" t="s">
        <v>496</v>
      </c>
      <c r="AD22" s="5" t="s">
        <v>495</v>
      </c>
      <c r="AE22" s="24" t="s">
        <v>494</v>
      </c>
      <c r="AF22" s="28"/>
      <c r="AG22" s="29" t="s">
        <v>95</v>
      </c>
      <c r="AH22" s="50" t="str">
        <f>AA22</f>
        <v xml:space="preserve"> ,1072</v>
      </c>
      <c r="AI22" s="30" t="s">
        <v>112</v>
      </c>
      <c r="AJ22" s="5">
        <v>1.5860000000000001</v>
      </c>
      <c r="AK22" s="40" t="s">
        <v>453</v>
      </c>
      <c r="AL22" s="3" t="s">
        <v>703</v>
      </c>
      <c r="AM22" s="29"/>
      <c r="AO22" s="30"/>
      <c r="AP22" s="5"/>
      <c r="AQ22" s="2"/>
      <c r="AS22" s="29"/>
      <c r="AU22" s="30"/>
      <c r="AV22" s="5"/>
      <c r="AW22" s="2"/>
      <c r="AY22" s="29"/>
      <c r="BA22" s="30"/>
      <c r="BB22" s="5"/>
      <c r="BC22" s="2"/>
      <c r="BE22" s="29"/>
      <c r="BG22" s="30"/>
      <c r="BH22" s="5"/>
      <c r="BJ22" s="46"/>
      <c r="BK22" s="5"/>
    </row>
    <row r="23" spans="2:64" x14ac:dyDescent="0.25">
      <c r="B23" s="105"/>
      <c r="C23" s="6">
        <v>2</v>
      </c>
      <c r="D23" s="35">
        <v>19</v>
      </c>
      <c r="E23" s="35" t="s">
        <v>47</v>
      </c>
      <c r="F23" s="113" t="s">
        <v>383</v>
      </c>
      <c r="G23" s="36">
        <f t="shared" si="0"/>
        <v>2.5530000000000017</v>
      </c>
      <c r="H23" s="20" t="s">
        <v>434</v>
      </c>
      <c r="I23" s="6" t="s">
        <v>434</v>
      </c>
      <c r="J23" s="6">
        <v>12</v>
      </c>
      <c r="K23" s="21">
        <v>29</v>
      </c>
      <c r="L23" s="22">
        <f t="shared" si="2"/>
        <v>41</v>
      </c>
      <c r="M23" s="121">
        <v>0</v>
      </c>
      <c r="N23" s="118">
        <v>0</v>
      </c>
      <c r="O23" s="5">
        <f>0.163+0.06</f>
        <v>0.223</v>
      </c>
      <c r="P23" s="5">
        <v>0.10199999999999999</v>
      </c>
      <c r="Q23" s="90">
        <f>18.562-16.334</f>
        <v>2.2280000000000015</v>
      </c>
      <c r="R23" s="24"/>
      <c r="S23" s="25">
        <f t="shared" si="6"/>
        <v>0</v>
      </c>
      <c r="T23" s="82">
        <f t="shared" si="6"/>
        <v>0</v>
      </c>
      <c r="U23" s="82">
        <f t="shared" si="6"/>
        <v>8.7348217783000344</v>
      </c>
      <c r="V23" s="82">
        <f t="shared" si="6"/>
        <v>3.9952996474735576</v>
      </c>
      <c r="W23" s="82">
        <f t="shared" si="6"/>
        <v>87.269878574226396</v>
      </c>
      <c r="X23" s="27"/>
      <c r="Y23" s="82"/>
      <c r="Z23" s="25"/>
      <c r="AA23" s="82"/>
      <c r="AB23" s="90"/>
      <c r="AC23" s="90" t="s">
        <v>514</v>
      </c>
      <c r="AD23" s="5" t="s">
        <v>513</v>
      </c>
      <c r="AE23" s="24" t="s">
        <v>512</v>
      </c>
      <c r="AF23" s="28"/>
      <c r="AG23" s="187"/>
      <c r="AH23" s="188"/>
      <c r="AI23" s="189"/>
      <c r="AJ23" s="76"/>
      <c r="AK23" s="74"/>
      <c r="AL23" s="190"/>
      <c r="AM23" s="29"/>
      <c r="AN23" s="50"/>
      <c r="AO23" s="30"/>
      <c r="AP23" s="5"/>
      <c r="AQ23" s="40"/>
      <c r="AS23" s="29"/>
      <c r="AU23" s="30"/>
      <c r="AV23" s="5"/>
      <c r="AW23" s="2"/>
      <c r="AY23" s="29"/>
      <c r="BA23" s="30"/>
      <c r="BB23" s="5"/>
      <c r="BC23" s="2"/>
      <c r="BE23" s="29"/>
      <c r="BG23" s="30"/>
      <c r="BH23" s="5"/>
      <c r="BJ23" s="46"/>
      <c r="BK23" s="5"/>
    </row>
    <row r="24" spans="2:64" s="96" customFormat="1" x14ac:dyDescent="0.25">
      <c r="B24" s="108"/>
      <c r="C24" s="35">
        <v>2</v>
      </c>
      <c r="D24" s="19">
        <v>20</v>
      </c>
      <c r="E24" s="19" t="s">
        <v>48</v>
      </c>
      <c r="F24" s="114" t="s">
        <v>384</v>
      </c>
      <c r="G24" s="97">
        <f t="shared" si="0"/>
        <v>2.8490000000000002</v>
      </c>
      <c r="H24" s="20" t="s">
        <v>433</v>
      </c>
      <c r="I24" s="47" t="s">
        <v>434</v>
      </c>
      <c r="J24" s="47">
        <v>8</v>
      </c>
      <c r="K24" s="48">
        <v>36</v>
      </c>
      <c r="L24" s="98">
        <f t="shared" si="2"/>
        <v>44</v>
      </c>
      <c r="M24" s="121">
        <v>0</v>
      </c>
      <c r="N24" s="118">
        <v>0</v>
      </c>
      <c r="O24" s="42">
        <f>0.1+0.054</f>
        <v>0.154</v>
      </c>
      <c r="P24" s="42">
        <f>16.486-16.357</f>
        <v>0.12900000000000134</v>
      </c>
      <c r="Q24" s="91">
        <f>18.961-16.395</f>
        <v>2.5659999999999989</v>
      </c>
      <c r="R24" s="49"/>
      <c r="S24" s="99">
        <f t="shared" si="6"/>
        <v>0</v>
      </c>
      <c r="T24" s="100">
        <f t="shared" si="6"/>
        <v>0</v>
      </c>
      <c r="U24" s="100">
        <f t="shared" si="6"/>
        <v>5.4054054054054053</v>
      </c>
      <c r="V24" s="100">
        <f t="shared" si="6"/>
        <v>4.5279045279045738</v>
      </c>
      <c r="W24" s="100">
        <f t="shared" si="6"/>
        <v>90.066690066690029</v>
      </c>
      <c r="X24" s="101"/>
      <c r="Y24" s="100"/>
      <c r="Z24" s="99"/>
      <c r="AA24" s="100"/>
      <c r="AB24" s="91"/>
      <c r="AC24" s="91" t="s">
        <v>517</v>
      </c>
      <c r="AD24" s="42" t="s">
        <v>516</v>
      </c>
      <c r="AE24" s="49" t="s">
        <v>515</v>
      </c>
      <c r="AF24" s="50"/>
      <c r="AG24" s="184"/>
      <c r="AH24" s="188"/>
      <c r="AI24" s="185"/>
      <c r="AJ24" s="186"/>
      <c r="AK24" s="74"/>
      <c r="AL24" s="191"/>
      <c r="AM24" s="39"/>
      <c r="AN24" s="95"/>
      <c r="AO24" s="41"/>
      <c r="AP24" s="42"/>
      <c r="AQ24" s="40"/>
      <c r="AR24" s="102"/>
      <c r="AS24" s="39"/>
      <c r="AT24" s="40"/>
      <c r="AU24" s="41"/>
      <c r="AV24" s="42"/>
      <c r="AW24" s="40"/>
      <c r="AX24" s="42"/>
      <c r="AY24" s="39"/>
      <c r="AZ24" s="40"/>
      <c r="BA24" s="41"/>
      <c r="BB24" s="42"/>
      <c r="BC24" s="40"/>
      <c r="BD24" s="102"/>
      <c r="BE24" s="39"/>
      <c r="BF24" s="40"/>
      <c r="BG24" s="41"/>
      <c r="BH24" s="42"/>
      <c r="BI24" s="40"/>
      <c r="BJ24" s="103"/>
      <c r="BK24" s="42"/>
    </row>
    <row r="25" spans="2:64" x14ac:dyDescent="0.25">
      <c r="B25" s="105">
        <v>44697</v>
      </c>
      <c r="C25" s="35">
        <v>2</v>
      </c>
      <c r="D25" s="35">
        <v>21</v>
      </c>
      <c r="E25" s="35" t="s">
        <v>49</v>
      </c>
      <c r="F25" s="113" t="s">
        <v>385</v>
      </c>
      <c r="G25" s="36">
        <f t="shared" si="0"/>
        <v>3.3250000000000002</v>
      </c>
      <c r="H25" s="20" t="s">
        <v>433</v>
      </c>
      <c r="I25" s="6" t="s">
        <v>433</v>
      </c>
      <c r="J25" s="6">
        <v>7</v>
      </c>
      <c r="K25" s="21">
        <v>57</v>
      </c>
      <c r="L25" s="22">
        <f t="shared" si="2"/>
        <v>64</v>
      </c>
      <c r="M25" s="117">
        <v>0</v>
      </c>
      <c r="N25" s="118">
        <v>0</v>
      </c>
      <c r="O25" s="5">
        <v>0.19400000000000001</v>
      </c>
      <c r="P25" s="5">
        <v>0.27200000000000002</v>
      </c>
      <c r="Q25" s="90">
        <v>2.859</v>
      </c>
      <c r="R25" s="24"/>
      <c r="S25" s="25">
        <f t="shared" si="6"/>
        <v>0</v>
      </c>
      <c r="T25" s="82">
        <f t="shared" si="6"/>
        <v>0</v>
      </c>
      <c r="U25" s="82">
        <f t="shared" si="6"/>
        <v>5.8345864661654128</v>
      </c>
      <c r="V25" s="82">
        <f t="shared" si="6"/>
        <v>8.1804511278195484</v>
      </c>
      <c r="W25" s="82">
        <f t="shared" si="6"/>
        <v>85.984962406015029</v>
      </c>
      <c r="X25" s="27"/>
      <c r="Y25" s="82"/>
      <c r="Z25" s="25"/>
      <c r="AA25" s="82"/>
      <c r="AB25" s="90"/>
      <c r="AC25" s="90" t="s">
        <v>520</v>
      </c>
      <c r="AD25" s="5" t="s">
        <v>519</v>
      </c>
      <c r="AE25" s="24" t="s">
        <v>518</v>
      </c>
      <c r="AF25" s="53"/>
      <c r="AG25" s="29"/>
      <c r="AH25" s="4"/>
      <c r="AI25" s="30"/>
      <c r="AJ25" s="5"/>
      <c r="AL25" s="31"/>
      <c r="AM25" s="29"/>
      <c r="AO25" s="30"/>
      <c r="AP25" s="5"/>
      <c r="AQ25" s="2"/>
      <c r="AR25" s="31"/>
      <c r="AS25" s="29"/>
      <c r="AU25" s="30"/>
      <c r="AV25" s="5"/>
      <c r="AW25" s="2"/>
      <c r="AX25" s="6"/>
      <c r="AY25" s="29"/>
      <c r="BA25" s="30"/>
      <c r="BB25" s="5"/>
      <c r="BC25" s="2"/>
      <c r="BD25" s="31"/>
      <c r="BE25" s="29"/>
      <c r="BG25" s="30"/>
      <c r="BH25" s="5"/>
      <c r="BJ25" s="37"/>
      <c r="BK25" s="5"/>
    </row>
    <row r="26" spans="2:64" x14ac:dyDescent="0.25">
      <c r="B26" s="105"/>
      <c r="C26" s="19">
        <v>2</v>
      </c>
      <c r="D26" s="35">
        <v>22</v>
      </c>
      <c r="E26" s="35" t="s">
        <v>50</v>
      </c>
      <c r="F26" s="113" t="s">
        <v>386</v>
      </c>
      <c r="G26" s="36">
        <f t="shared" si="0"/>
        <v>3.468</v>
      </c>
      <c r="H26" s="20" t="s">
        <v>433</v>
      </c>
      <c r="I26" s="6">
        <v>1</v>
      </c>
      <c r="J26" s="6">
        <v>4</v>
      </c>
      <c r="K26" s="21">
        <v>50</v>
      </c>
      <c r="L26" s="22">
        <f t="shared" si="2"/>
        <v>55</v>
      </c>
      <c r="M26" s="117">
        <v>0</v>
      </c>
      <c r="N26" s="5">
        <v>0.214</v>
      </c>
      <c r="O26" s="5">
        <v>0.19400000000000001</v>
      </c>
      <c r="P26" s="5">
        <v>0.23799999999999999</v>
      </c>
      <c r="Q26" s="90">
        <v>2.8220000000000001</v>
      </c>
      <c r="R26" s="24"/>
      <c r="S26" s="25">
        <f t="shared" si="6"/>
        <v>0</v>
      </c>
      <c r="T26" s="82">
        <f t="shared" si="6"/>
        <v>6.1707035755478659</v>
      </c>
      <c r="U26" s="82">
        <f t="shared" si="6"/>
        <v>5.5940023068050753</v>
      </c>
      <c r="V26" s="82">
        <f t="shared" si="6"/>
        <v>6.8627450980392153</v>
      </c>
      <c r="W26" s="82">
        <f t="shared" si="6"/>
        <v>81.372549019607845</v>
      </c>
      <c r="X26" s="27"/>
      <c r="Y26" s="82"/>
      <c r="Z26" s="25"/>
      <c r="AA26" s="82"/>
      <c r="AB26" s="90" t="s">
        <v>524</v>
      </c>
      <c r="AC26" s="90" t="s">
        <v>523</v>
      </c>
      <c r="AD26" s="5" t="s">
        <v>522</v>
      </c>
      <c r="AE26" s="24" t="s">
        <v>521</v>
      </c>
      <c r="AF26" s="28"/>
      <c r="AG26" s="29" t="s">
        <v>95</v>
      </c>
      <c r="AH26" s="4" t="str">
        <f t="shared" si="5"/>
        <v>,1083</v>
      </c>
      <c r="AI26" s="30" t="s">
        <v>99</v>
      </c>
      <c r="AJ26" s="5">
        <v>0.214</v>
      </c>
      <c r="AK26" s="2" t="s">
        <v>453</v>
      </c>
      <c r="AL26" s="3" t="s">
        <v>703</v>
      </c>
      <c r="AM26" s="29"/>
      <c r="AN26" s="95"/>
      <c r="AO26" s="30"/>
      <c r="AP26" s="5"/>
      <c r="AQ26" s="43"/>
      <c r="AS26" s="29"/>
      <c r="AT26" s="4"/>
      <c r="AU26" s="30"/>
      <c r="AV26" s="5"/>
      <c r="AW26" s="2"/>
      <c r="AY26" s="29"/>
      <c r="BA26" s="30"/>
      <c r="BB26" s="5"/>
      <c r="BC26" s="2"/>
      <c r="BE26" s="29"/>
      <c r="BG26" s="30"/>
      <c r="BH26" s="5"/>
      <c r="BJ26" s="46"/>
      <c r="BK26" s="5"/>
    </row>
    <row r="27" spans="2:64" x14ac:dyDescent="0.25">
      <c r="B27" s="105"/>
      <c r="C27" s="6">
        <v>2</v>
      </c>
      <c r="D27" s="35">
        <v>23</v>
      </c>
      <c r="E27" s="35" t="s">
        <v>51</v>
      </c>
      <c r="F27" s="115" t="s">
        <v>430</v>
      </c>
      <c r="G27" s="36">
        <f t="shared" si="0"/>
        <v>2.5500000000000007</v>
      </c>
      <c r="H27" s="20" t="s">
        <v>433</v>
      </c>
      <c r="I27" s="6">
        <v>1</v>
      </c>
      <c r="J27" s="6">
        <v>10</v>
      </c>
      <c r="K27" s="21">
        <v>22</v>
      </c>
      <c r="L27" s="22">
        <f t="shared" si="2"/>
        <v>33</v>
      </c>
      <c r="M27" s="117">
        <v>0</v>
      </c>
      <c r="N27" s="5">
        <f>0.067</f>
        <v>6.7000000000000004E-2</v>
      </c>
      <c r="O27" s="5">
        <f>0.099+0.049+0.026</f>
        <v>0.17400000000000002</v>
      </c>
      <c r="P27" s="5">
        <v>8.3000000000000004E-2</v>
      </c>
      <c r="Q27" s="90">
        <f>18.16-15.934</f>
        <v>2.2260000000000009</v>
      </c>
      <c r="R27" s="24"/>
      <c r="S27" s="25">
        <f t="shared" si="6"/>
        <v>0</v>
      </c>
      <c r="T27" s="82">
        <f t="shared" si="6"/>
        <v>2.6274509803921564</v>
      </c>
      <c r="U27" s="82">
        <f t="shared" si="6"/>
        <v>6.8235294117647047</v>
      </c>
      <c r="V27" s="82">
        <f t="shared" si="6"/>
        <v>3.2549019607843128</v>
      </c>
      <c r="W27" s="82">
        <f t="shared" si="6"/>
        <v>87.29411764705884</v>
      </c>
      <c r="X27" s="27"/>
      <c r="Y27" s="82"/>
      <c r="Z27" s="25"/>
      <c r="AA27" s="82"/>
      <c r="AB27" s="90" t="s">
        <v>528</v>
      </c>
      <c r="AC27" s="90" t="s">
        <v>527</v>
      </c>
      <c r="AD27" s="5" t="s">
        <v>526</v>
      </c>
      <c r="AE27" s="24" t="s">
        <v>525</v>
      </c>
      <c r="AF27" s="28"/>
      <c r="AG27" s="29" t="s">
        <v>95</v>
      </c>
      <c r="AH27" s="4" t="str">
        <f t="shared" si="5"/>
        <v>,1087</v>
      </c>
      <c r="AI27" s="30" t="s">
        <v>99</v>
      </c>
      <c r="AJ27" s="5">
        <v>6.0999999999999999E-2</v>
      </c>
      <c r="AK27" s="2" t="s">
        <v>453</v>
      </c>
      <c r="AL27" s="3" t="s">
        <v>703</v>
      </c>
      <c r="AM27" s="29"/>
      <c r="AN27" s="4"/>
      <c r="AO27" s="30"/>
      <c r="AP27" s="5"/>
      <c r="AQ27" s="2"/>
      <c r="AS27" s="29"/>
      <c r="AT27" s="4"/>
      <c r="AU27" s="30"/>
      <c r="AV27" s="5"/>
      <c r="AW27" s="2"/>
      <c r="AY27" s="29"/>
      <c r="BA27" s="30"/>
      <c r="BB27" s="5"/>
      <c r="BC27" s="2"/>
      <c r="BE27" s="29"/>
      <c r="BG27" s="30"/>
      <c r="BH27" s="5"/>
      <c r="BJ27" s="46"/>
      <c r="BK27" s="5"/>
    </row>
    <row r="28" spans="2:64" x14ac:dyDescent="0.25">
      <c r="B28" s="105"/>
      <c r="C28" s="35">
        <v>2</v>
      </c>
      <c r="D28" s="35">
        <v>24</v>
      </c>
      <c r="E28" s="35" t="s">
        <v>52</v>
      </c>
      <c r="F28" s="115" t="s">
        <v>387</v>
      </c>
      <c r="G28" s="36">
        <f t="shared" si="0"/>
        <v>3.0339999999999998</v>
      </c>
      <c r="H28" s="20" t="s">
        <v>433</v>
      </c>
      <c r="I28" s="6" t="s">
        <v>434</v>
      </c>
      <c r="J28" s="6">
        <v>10</v>
      </c>
      <c r="K28" s="21">
        <v>35</v>
      </c>
      <c r="L28" s="22">
        <f t="shared" si="2"/>
        <v>45</v>
      </c>
      <c r="M28" s="117">
        <v>0</v>
      </c>
      <c r="N28" s="118">
        <v>0</v>
      </c>
      <c r="O28" s="5">
        <f>0.148+0.102</f>
        <v>0.25</v>
      </c>
      <c r="P28" s="5">
        <v>0.14299999999999999</v>
      </c>
      <c r="Q28" s="90">
        <f>18.585-15.944</f>
        <v>2.641</v>
      </c>
      <c r="R28" s="24"/>
      <c r="S28" s="25">
        <f t="shared" si="6"/>
        <v>0</v>
      </c>
      <c r="T28" s="82">
        <f t="shared" si="6"/>
        <v>0</v>
      </c>
      <c r="U28" s="82">
        <f t="shared" si="6"/>
        <v>8.2399472643375091</v>
      </c>
      <c r="V28" s="82">
        <f t="shared" si="6"/>
        <v>4.7132498352010543</v>
      </c>
      <c r="W28" s="82">
        <f t="shared" si="6"/>
        <v>87.046802900461444</v>
      </c>
      <c r="X28" s="27"/>
      <c r="Y28" s="82"/>
      <c r="Z28" s="25"/>
      <c r="AA28" s="82"/>
      <c r="AB28" s="90"/>
      <c r="AC28" s="90" t="s">
        <v>531</v>
      </c>
      <c r="AD28" s="5" t="s">
        <v>530</v>
      </c>
      <c r="AE28" s="24" t="s">
        <v>529</v>
      </c>
      <c r="AF28" s="28"/>
      <c r="AG28" s="140"/>
      <c r="AH28" s="43"/>
      <c r="AI28" s="141"/>
      <c r="AJ28" s="142"/>
      <c r="AK28" s="43"/>
      <c r="AM28" s="140"/>
      <c r="AN28" s="43"/>
      <c r="AO28" s="141"/>
      <c r="AP28" s="142"/>
      <c r="AQ28" s="43"/>
      <c r="AS28" s="29"/>
      <c r="AU28" s="30"/>
      <c r="AV28" s="5"/>
      <c r="AW28" s="2"/>
      <c r="AY28" s="29"/>
      <c r="BA28" s="30"/>
      <c r="BB28" s="5"/>
      <c r="BC28" s="2"/>
      <c r="BE28" s="29"/>
      <c r="BG28" s="30"/>
      <c r="BH28" s="5"/>
      <c r="BJ28" s="46"/>
      <c r="BK28" s="5"/>
    </row>
    <row r="29" spans="2:64" x14ac:dyDescent="0.25">
      <c r="B29" s="105"/>
      <c r="C29" s="6">
        <v>2</v>
      </c>
      <c r="D29" s="35">
        <v>25</v>
      </c>
      <c r="E29" s="35" t="s">
        <v>53</v>
      </c>
      <c r="F29" s="113" t="s">
        <v>388</v>
      </c>
      <c r="G29" s="36">
        <f t="shared" si="0"/>
        <v>3.4579999999999993</v>
      </c>
      <c r="H29" s="20" t="s">
        <v>433</v>
      </c>
      <c r="I29" s="6">
        <v>4</v>
      </c>
      <c r="J29" s="6">
        <v>8</v>
      </c>
      <c r="K29" s="21">
        <v>36</v>
      </c>
      <c r="L29" s="22">
        <f t="shared" si="2"/>
        <v>48</v>
      </c>
      <c r="M29" s="117">
        <v>0</v>
      </c>
      <c r="N29" s="5">
        <f>0.061+0.785+0.301+0.064</f>
        <v>1.2110000000000001</v>
      </c>
      <c r="O29" s="5">
        <f>0.116+0.046</f>
        <v>0.16200000000000001</v>
      </c>
      <c r="P29" s="5">
        <v>0.154</v>
      </c>
      <c r="Q29" s="90">
        <f>17.918-15.987</f>
        <v>1.9309999999999992</v>
      </c>
      <c r="R29" s="24"/>
      <c r="S29" s="25">
        <f t="shared" si="6"/>
        <v>0</v>
      </c>
      <c r="T29" s="82">
        <f t="shared" si="6"/>
        <v>35.020242914979768</v>
      </c>
      <c r="U29" s="82">
        <f t="shared" si="6"/>
        <v>4.6847888953152124</v>
      </c>
      <c r="V29" s="82">
        <f t="shared" si="6"/>
        <v>4.4534412955465594</v>
      </c>
      <c r="W29" s="82">
        <f t="shared" si="6"/>
        <v>55.841526894158456</v>
      </c>
      <c r="X29" s="27"/>
      <c r="Y29" s="82"/>
      <c r="Z29" s="25"/>
      <c r="AA29" s="82"/>
      <c r="AB29" s="90" t="s">
        <v>535</v>
      </c>
      <c r="AC29" s="90" t="s">
        <v>534</v>
      </c>
      <c r="AD29" s="5" t="s">
        <v>533</v>
      </c>
      <c r="AE29" s="24" t="s">
        <v>532</v>
      </c>
      <c r="AF29" s="28"/>
      <c r="AG29" s="29" t="s">
        <v>95</v>
      </c>
      <c r="AH29" s="2" t="str">
        <f t="shared" ref="AH29:AH30" si="7">AB29</f>
        <v>,1095</v>
      </c>
      <c r="AI29" s="30" t="s">
        <v>99</v>
      </c>
      <c r="AJ29" s="5">
        <v>6.0999999999999999E-2</v>
      </c>
      <c r="AK29" s="2" t="s">
        <v>453</v>
      </c>
      <c r="AL29" s="3" t="s">
        <v>703</v>
      </c>
      <c r="AM29" s="29" t="s">
        <v>96</v>
      </c>
      <c r="AN29" s="2" t="str">
        <f t="shared" ref="AN29" si="8">AH29</f>
        <v>,1095</v>
      </c>
      <c r="AO29" s="30" t="s">
        <v>99</v>
      </c>
      <c r="AP29" s="5">
        <v>0.78500000000000003</v>
      </c>
      <c r="AQ29" s="2" t="s">
        <v>453</v>
      </c>
      <c r="AR29" s="3" t="s">
        <v>703</v>
      </c>
      <c r="AS29" s="29" t="s">
        <v>114</v>
      </c>
      <c r="AT29" s="2" t="str">
        <f>AH29</f>
        <v>,1095</v>
      </c>
      <c r="AU29" s="30" t="s">
        <v>99</v>
      </c>
      <c r="AV29" s="5">
        <v>0.30099999999999999</v>
      </c>
      <c r="AW29" s="2" t="s">
        <v>453</v>
      </c>
      <c r="AX29" s="5" t="s">
        <v>703</v>
      </c>
      <c r="AY29" s="29" t="s">
        <v>123</v>
      </c>
      <c r="AZ29" s="2" t="str">
        <f>AH29</f>
        <v>,1095</v>
      </c>
      <c r="BA29" s="30" t="s">
        <v>99</v>
      </c>
      <c r="BB29" s="5">
        <v>6.4000000000000001E-2</v>
      </c>
      <c r="BC29" s="2" t="s">
        <v>453</v>
      </c>
      <c r="BD29" s="3" t="s">
        <v>703</v>
      </c>
      <c r="BE29" s="29"/>
      <c r="BG29" s="30"/>
      <c r="BH29" s="5"/>
      <c r="BJ29" s="46"/>
      <c r="BK29" s="5"/>
    </row>
    <row r="30" spans="2:64" x14ac:dyDescent="0.25">
      <c r="B30" s="105">
        <v>44698</v>
      </c>
      <c r="C30" s="35">
        <v>2</v>
      </c>
      <c r="D30" s="35">
        <v>26</v>
      </c>
      <c r="E30" s="35" t="s">
        <v>54</v>
      </c>
      <c r="F30" s="113" t="s">
        <v>389</v>
      </c>
      <c r="G30" s="36">
        <f t="shared" si="0"/>
        <v>2.9390000000000001</v>
      </c>
      <c r="H30" s="20" t="s">
        <v>433</v>
      </c>
      <c r="I30" s="6">
        <v>1</v>
      </c>
      <c r="J30" s="6">
        <v>4</v>
      </c>
      <c r="K30" s="21">
        <v>62</v>
      </c>
      <c r="L30" s="22">
        <f t="shared" si="2"/>
        <v>67</v>
      </c>
      <c r="M30" s="117">
        <v>0</v>
      </c>
      <c r="N30" s="5">
        <v>8.5000000000000006E-2</v>
      </c>
      <c r="O30" s="5">
        <v>5.3999999999999999E-2</v>
      </c>
      <c r="P30" s="5">
        <v>0.26900000000000002</v>
      </c>
      <c r="Q30" s="90">
        <v>2.5310000000000001</v>
      </c>
      <c r="R30" s="24"/>
      <c r="S30" s="25">
        <f t="shared" si="6"/>
        <v>0</v>
      </c>
      <c r="T30" s="82">
        <f t="shared" si="6"/>
        <v>2.8921401837359646</v>
      </c>
      <c r="U30" s="82">
        <f t="shared" si="6"/>
        <v>1.8373596461381421</v>
      </c>
      <c r="V30" s="82">
        <f t="shared" si="6"/>
        <v>9.1527730520585244</v>
      </c>
      <c r="W30" s="82">
        <f t="shared" si="6"/>
        <v>86.117727118067378</v>
      </c>
      <c r="X30" s="27"/>
      <c r="Y30" s="82"/>
      <c r="Z30" s="25"/>
      <c r="AA30" s="82"/>
      <c r="AB30" s="90" t="s">
        <v>540</v>
      </c>
      <c r="AC30" s="90" t="s">
        <v>539</v>
      </c>
      <c r="AD30" s="5" t="s">
        <v>538</v>
      </c>
      <c r="AE30" s="24" t="s">
        <v>537</v>
      </c>
      <c r="AF30" s="28"/>
      <c r="AG30" s="29" t="s">
        <v>95</v>
      </c>
      <c r="AH30" s="2" t="str">
        <f t="shared" si="7"/>
        <v>,1099</v>
      </c>
      <c r="AI30" s="30" t="s">
        <v>99</v>
      </c>
      <c r="AJ30" s="5">
        <v>8.5000000000000006E-2</v>
      </c>
      <c r="AK30" s="2" t="s">
        <v>453</v>
      </c>
      <c r="AL30" s="3" t="s">
        <v>703</v>
      </c>
      <c r="AM30" s="29"/>
      <c r="AO30" s="30"/>
      <c r="AP30" s="5"/>
      <c r="AQ30" s="2"/>
      <c r="AS30" s="29"/>
      <c r="AU30" s="30"/>
      <c r="AV30" s="5"/>
      <c r="AW30" s="2"/>
      <c r="AY30" s="29"/>
      <c r="BA30" s="30"/>
      <c r="BB30" s="5"/>
      <c r="BC30" s="2"/>
      <c r="BE30" s="29"/>
      <c r="BG30" s="30"/>
      <c r="BH30" s="5"/>
      <c r="BJ30" s="46"/>
      <c r="BK30" s="5"/>
    </row>
    <row r="31" spans="2:64" x14ac:dyDescent="0.25">
      <c r="B31" s="105"/>
      <c r="C31" s="35">
        <v>2</v>
      </c>
      <c r="D31" s="35">
        <v>27</v>
      </c>
      <c r="E31" s="35" t="s">
        <v>55</v>
      </c>
      <c r="F31" s="113" t="s">
        <v>390</v>
      </c>
      <c r="G31" s="36">
        <f t="shared" si="0"/>
        <v>3.0329999999999999</v>
      </c>
      <c r="H31" s="20" t="s">
        <v>433</v>
      </c>
      <c r="I31" s="6" t="s">
        <v>434</v>
      </c>
      <c r="J31" s="6">
        <v>6</v>
      </c>
      <c r="K31" s="21">
        <v>52</v>
      </c>
      <c r="L31" s="22">
        <f t="shared" si="2"/>
        <v>58</v>
      </c>
      <c r="M31" s="117">
        <v>0</v>
      </c>
      <c r="N31" s="118">
        <v>0</v>
      </c>
      <c r="O31" s="5">
        <v>0.152</v>
      </c>
      <c r="P31" s="5">
        <v>0.215</v>
      </c>
      <c r="Q31" s="90">
        <v>2.6659999999999999</v>
      </c>
      <c r="R31" s="24"/>
      <c r="S31" s="25">
        <f t="shared" si="6"/>
        <v>0</v>
      </c>
      <c r="T31" s="82">
        <f t="shared" si="6"/>
        <v>0</v>
      </c>
      <c r="U31" s="82">
        <f t="shared" si="6"/>
        <v>5.0115397296406199</v>
      </c>
      <c r="V31" s="82">
        <f t="shared" si="6"/>
        <v>7.0886910649521919</v>
      </c>
      <c r="W31" s="82">
        <f t="shared" si="6"/>
        <v>87.899769205407182</v>
      </c>
      <c r="X31" s="27"/>
      <c r="Y31" s="82"/>
      <c r="Z31" s="25"/>
      <c r="AA31" s="82"/>
      <c r="AB31" s="90"/>
      <c r="AC31" s="90" t="s">
        <v>544</v>
      </c>
      <c r="AD31" s="5" t="s">
        <v>542</v>
      </c>
      <c r="AE31" s="24" t="s">
        <v>541</v>
      </c>
      <c r="AF31" s="28"/>
      <c r="AG31" s="29"/>
      <c r="AI31" s="30"/>
      <c r="AJ31" s="5"/>
      <c r="AM31" s="29"/>
      <c r="AO31" s="30"/>
      <c r="AP31" s="5"/>
      <c r="AQ31" s="2"/>
      <c r="AS31" s="29"/>
      <c r="AU31" s="30"/>
      <c r="AV31" s="5"/>
      <c r="AW31" s="2"/>
      <c r="AY31" s="29"/>
      <c r="BA31" s="30"/>
      <c r="BB31" s="5"/>
      <c r="BC31" s="2"/>
      <c r="BE31" s="29"/>
      <c r="BG31" s="30"/>
      <c r="BH31" s="5"/>
      <c r="BJ31" s="46"/>
      <c r="BK31" s="5"/>
    </row>
    <row r="32" spans="2:64" x14ac:dyDescent="0.25">
      <c r="B32" s="105"/>
      <c r="C32" s="19">
        <v>2</v>
      </c>
      <c r="D32" s="6">
        <v>28</v>
      </c>
      <c r="E32" s="6" t="s">
        <v>56</v>
      </c>
      <c r="F32" s="113" t="s">
        <v>391</v>
      </c>
      <c r="G32" s="36">
        <f t="shared" si="0"/>
        <v>4.6419999999999995</v>
      </c>
      <c r="H32" s="20">
        <v>1</v>
      </c>
      <c r="I32" s="6">
        <v>1</v>
      </c>
      <c r="J32" s="6">
        <v>4</v>
      </c>
      <c r="K32" s="21">
        <v>30</v>
      </c>
      <c r="L32" s="22">
        <f t="shared" si="2"/>
        <v>36</v>
      </c>
      <c r="M32" s="23">
        <v>2.3679999999999999</v>
      </c>
      <c r="N32" s="5">
        <v>0.16500000000000001</v>
      </c>
      <c r="O32" s="5">
        <v>0.08</v>
      </c>
      <c r="P32" s="5">
        <v>0.14499999999999999</v>
      </c>
      <c r="Q32" s="90">
        <v>1.8839999999999999</v>
      </c>
      <c r="R32" s="24"/>
      <c r="S32" s="25">
        <f t="shared" si="6"/>
        <v>51.012494614390356</v>
      </c>
      <c r="T32" s="82">
        <f t="shared" si="6"/>
        <v>3.554502369668247</v>
      </c>
      <c r="U32" s="82">
        <f t="shared" si="6"/>
        <v>1.7233950883239986</v>
      </c>
      <c r="V32" s="82">
        <f t="shared" si="6"/>
        <v>3.1236535975872468</v>
      </c>
      <c r="W32" s="82">
        <f t="shared" si="6"/>
        <v>40.585954330030162</v>
      </c>
      <c r="X32" s="27"/>
      <c r="Y32" s="82"/>
      <c r="Z32" s="25"/>
      <c r="AA32" s="82" t="s">
        <v>548</v>
      </c>
      <c r="AB32" s="90" t="s">
        <v>547</v>
      </c>
      <c r="AC32" s="90" t="s">
        <v>546</v>
      </c>
      <c r="AD32" s="5" t="s">
        <v>545</v>
      </c>
      <c r="AE32" s="24" t="s">
        <v>543</v>
      </c>
      <c r="AF32" s="28"/>
      <c r="AG32" s="29" t="s">
        <v>95</v>
      </c>
      <c r="AH32" s="2" t="str">
        <f t="shared" ref="AH32" si="9">AB32</f>
        <v>,1106</v>
      </c>
      <c r="AI32" s="30" t="s">
        <v>536</v>
      </c>
      <c r="AJ32" s="5">
        <v>0.16500000000000001</v>
      </c>
      <c r="AK32" s="2" t="s">
        <v>453</v>
      </c>
      <c r="AL32" s="3" t="s">
        <v>703</v>
      </c>
      <c r="AM32" s="29" t="s">
        <v>95</v>
      </c>
      <c r="AN32" s="53" t="str">
        <f>AA32</f>
        <v>,1107</v>
      </c>
      <c r="AO32" s="30" t="s">
        <v>112</v>
      </c>
      <c r="AP32" s="5">
        <v>2.3679999999999999</v>
      </c>
      <c r="AQ32" s="2" t="s">
        <v>453</v>
      </c>
      <c r="AR32" s="3" t="s">
        <v>703</v>
      </c>
      <c r="AS32" s="29"/>
      <c r="AU32" s="30"/>
      <c r="AV32" s="5"/>
      <c r="AW32" s="2"/>
      <c r="AY32" s="29"/>
      <c r="BA32" s="30"/>
      <c r="BB32" s="5"/>
      <c r="BC32" s="2"/>
      <c r="BE32" s="29"/>
      <c r="BG32" s="30"/>
      <c r="BH32" s="5"/>
      <c r="BJ32" s="46"/>
      <c r="BK32" s="5"/>
    </row>
    <row r="33" spans="2:63" x14ac:dyDescent="0.25">
      <c r="B33" s="105"/>
      <c r="C33" s="6">
        <v>2</v>
      </c>
      <c r="D33" s="35">
        <v>29</v>
      </c>
      <c r="E33" s="35" t="s">
        <v>57</v>
      </c>
      <c r="F33" s="113" t="s">
        <v>392</v>
      </c>
      <c r="G33" s="36">
        <f t="shared" si="0"/>
        <v>2.5129999999999972</v>
      </c>
      <c r="H33" s="20" t="s">
        <v>433</v>
      </c>
      <c r="I33" s="6">
        <v>1</v>
      </c>
      <c r="J33" s="6">
        <v>10</v>
      </c>
      <c r="K33" s="21">
        <v>21</v>
      </c>
      <c r="L33" s="22">
        <f t="shared" si="2"/>
        <v>32</v>
      </c>
      <c r="M33" s="117">
        <v>0</v>
      </c>
      <c r="N33" s="5">
        <v>0.32800000000000001</v>
      </c>
      <c r="O33" s="5">
        <v>0.20100000000000001</v>
      </c>
      <c r="P33" s="5">
        <v>8.2000000000000003E-2</v>
      </c>
      <c r="Q33" s="90">
        <f>18.092-16.19</f>
        <v>1.9019999999999975</v>
      </c>
      <c r="R33" s="24"/>
      <c r="S33" s="25">
        <f t="shared" si="6"/>
        <v>0</v>
      </c>
      <c r="T33" s="82">
        <f t="shared" si="6"/>
        <v>13.052128929566271</v>
      </c>
      <c r="U33" s="82">
        <f t="shared" si="6"/>
        <v>7.998408276959819</v>
      </c>
      <c r="V33" s="82">
        <f t="shared" si="6"/>
        <v>3.2630322323915677</v>
      </c>
      <c r="W33" s="82">
        <f t="shared" si="6"/>
        <v>75.686430561082346</v>
      </c>
      <c r="X33" s="27"/>
      <c r="Y33" s="82"/>
      <c r="Z33" s="25"/>
      <c r="AA33" s="82"/>
      <c r="AB33" s="90" t="s">
        <v>552</v>
      </c>
      <c r="AC33" s="90" t="s">
        <v>551</v>
      </c>
      <c r="AD33" s="5" t="s">
        <v>550</v>
      </c>
      <c r="AE33" s="24" t="s">
        <v>549</v>
      </c>
      <c r="AF33" s="28"/>
      <c r="AG33" s="29" t="s">
        <v>95</v>
      </c>
      <c r="AH33" s="4" t="str">
        <f>AB33</f>
        <v>,1111</v>
      </c>
      <c r="AI33" s="30" t="s">
        <v>99</v>
      </c>
      <c r="AJ33" s="5">
        <v>0.32800000000000001</v>
      </c>
      <c r="AK33" s="2" t="s">
        <v>453</v>
      </c>
      <c r="AL33" s="3" t="s">
        <v>703</v>
      </c>
      <c r="AM33" s="29"/>
      <c r="AN33" s="4"/>
      <c r="AO33" s="30"/>
      <c r="AP33" s="5"/>
      <c r="AQ33" s="2"/>
      <c r="AS33" s="29"/>
      <c r="AT33" s="4"/>
      <c r="AU33" s="30"/>
      <c r="AV33" s="5"/>
      <c r="AW33" s="2"/>
      <c r="AY33" s="29"/>
      <c r="AZ33" s="4"/>
      <c r="BA33" s="30"/>
      <c r="BB33" s="5"/>
      <c r="BC33" s="2"/>
      <c r="BE33" s="29"/>
      <c r="BG33" s="30"/>
      <c r="BH33" s="5"/>
      <c r="BJ33" s="46"/>
      <c r="BK33" s="5"/>
    </row>
    <row r="34" spans="2:63" s="166" customFormat="1" x14ac:dyDescent="0.25">
      <c r="B34" s="169">
        <v>44699</v>
      </c>
      <c r="C34" s="145">
        <v>2</v>
      </c>
      <c r="D34" s="145">
        <v>30</v>
      </c>
      <c r="E34" s="145" t="s">
        <v>58</v>
      </c>
      <c r="F34" s="146" t="s">
        <v>393</v>
      </c>
      <c r="G34" s="147">
        <f t="shared" si="0"/>
        <v>2.3920000000000012</v>
      </c>
      <c r="H34" s="170" t="s">
        <v>433</v>
      </c>
      <c r="I34" s="149" t="s">
        <v>433</v>
      </c>
      <c r="J34" s="149">
        <v>5</v>
      </c>
      <c r="K34" s="150">
        <v>28</v>
      </c>
      <c r="L34" s="151">
        <f t="shared" si="2"/>
        <v>33</v>
      </c>
      <c r="M34" s="152">
        <v>0</v>
      </c>
      <c r="N34" s="171">
        <v>0</v>
      </c>
      <c r="O34" s="153">
        <v>0.111</v>
      </c>
      <c r="P34" s="153">
        <v>0.129</v>
      </c>
      <c r="Q34" s="154">
        <f>18.327-16.175</f>
        <v>2.152000000000001</v>
      </c>
      <c r="R34" s="155"/>
      <c r="S34" s="156">
        <f t="shared" si="6"/>
        <v>0</v>
      </c>
      <c r="T34" s="157">
        <f t="shared" si="6"/>
        <v>0</v>
      </c>
      <c r="U34" s="157">
        <f t="shared" si="6"/>
        <v>4.6404682274247468</v>
      </c>
      <c r="V34" s="157">
        <f t="shared" si="6"/>
        <v>5.3929765886287599</v>
      </c>
      <c r="W34" s="157">
        <f t="shared" si="6"/>
        <v>89.966555183946483</v>
      </c>
      <c r="X34" s="158"/>
      <c r="Y34" s="157"/>
      <c r="Z34" s="156"/>
      <c r="AA34" s="157"/>
      <c r="AB34" s="154"/>
      <c r="AC34" s="154" t="s">
        <v>555</v>
      </c>
      <c r="AD34" s="153" t="s">
        <v>554</v>
      </c>
      <c r="AE34" s="155" t="s">
        <v>553</v>
      </c>
      <c r="AF34" s="159"/>
      <c r="AG34" s="160"/>
      <c r="AH34" s="163"/>
      <c r="AI34" s="162"/>
      <c r="AJ34" s="153"/>
      <c r="AK34" s="163"/>
      <c r="AL34" s="164"/>
      <c r="AM34" s="160"/>
      <c r="AN34" s="163"/>
      <c r="AO34" s="162"/>
      <c r="AP34" s="153"/>
      <c r="AQ34" s="163"/>
      <c r="AR34" s="164"/>
      <c r="AS34" s="160"/>
      <c r="AT34" s="163"/>
      <c r="AU34" s="162"/>
      <c r="AV34" s="153"/>
      <c r="AW34" s="163"/>
      <c r="AX34" s="153"/>
      <c r="AY34" s="160"/>
      <c r="AZ34" s="163"/>
      <c r="BA34" s="162"/>
      <c r="BB34" s="153"/>
      <c r="BC34" s="163"/>
      <c r="BD34" s="164"/>
      <c r="BE34" s="160"/>
      <c r="BF34" s="163"/>
      <c r="BG34" s="162"/>
      <c r="BH34" s="153"/>
      <c r="BI34" s="163"/>
      <c r="BJ34" s="165"/>
      <c r="BK34" s="153"/>
    </row>
    <row r="35" spans="2:63" s="166" customFormat="1" x14ac:dyDescent="0.25">
      <c r="B35" s="169"/>
      <c r="C35" s="149">
        <v>2</v>
      </c>
      <c r="D35" s="145">
        <v>31</v>
      </c>
      <c r="E35" s="145" t="s">
        <v>59</v>
      </c>
      <c r="F35" s="172" t="s">
        <v>394</v>
      </c>
      <c r="G35" s="147">
        <f t="shared" si="0"/>
        <v>2.871</v>
      </c>
      <c r="H35" s="170" t="s">
        <v>433</v>
      </c>
      <c r="I35" s="149">
        <v>1</v>
      </c>
      <c r="J35" s="149">
        <v>2</v>
      </c>
      <c r="K35" s="150">
        <v>37</v>
      </c>
      <c r="L35" s="151">
        <f t="shared" si="2"/>
        <v>40</v>
      </c>
      <c r="M35" s="152">
        <v>0</v>
      </c>
      <c r="N35" s="153">
        <v>0.153</v>
      </c>
      <c r="O35" s="153">
        <v>4.2000000000000003E-2</v>
      </c>
      <c r="P35" s="153">
        <v>0.13300000000000001</v>
      </c>
      <c r="Q35" s="154">
        <v>2.5430000000000001</v>
      </c>
      <c r="R35" s="155"/>
      <c r="S35" s="156">
        <f t="shared" si="6"/>
        <v>0</v>
      </c>
      <c r="T35" s="157">
        <f t="shared" si="6"/>
        <v>5.3291536050156738</v>
      </c>
      <c r="U35" s="157">
        <f t="shared" si="6"/>
        <v>1.4629049111807733</v>
      </c>
      <c r="V35" s="157">
        <f t="shared" si="6"/>
        <v>4.6325322187391151</v>
      </c>
      <c r="W35" s="157">
        <f t="shared" si="6"/>
        <v>88.575409265064437</v>
      </c>
      <c r="X35" s="158"/>
      <c r="Y35" s="157"/>
      <c r="Z35" s="156"/>
      <c r="AA35" s="157"/>
      <c r="AB35" s="154" t="s">
        <v>559</v>
      </c>
      <c r="AC35" s="154" t="s">
        <v>558</v>
      </c>
      <c r="AD35" s="153" t="s">
        <v>557</v>
      </c>
      <c r="AE35" s="155" t="s">
        <v>556</v>
      </c>
      <c r="AF35" s="159"/>
      <c r="AG35" s="160" t="s">
        <v>95</v>
      </c>
      <c r="AH35" s="163" t="str">
        <f>AB35</f>
        <v>,1118</v>
      </c>
      <c r="AI35" s="162" t="s">
        <v>99</v>
      </c>
      <c r="AJ35" s="153">
        <v>0.153</v>
      </c>
      <c r="AK35" s="163" t="s">
        <v>453</v>
      </c>
      <c r="AL35" s="164" t="s">
        <v>703</v>
      </c>
      <c r="AM35" s="160"/>
      <c r="AN35" s="163"/>
      <c r="AO35" s="162"/>
      <c r="AP35" s="153"/>
      <c r="AQ35" s="163"/>
      <c r="AR35" s="167"/>
      <c r="AS35" s="160"/>
      <c r="AT35" s="163"/>
      <c r="AU35" s="162"/>
      <c r="AV35" s="153"/>
      <c r="AW35" s="163"/>
      <c r="AX35" s="149"/>
      <c r="AY35" s="160"/>
      <c r="AZ35" s="163"/>
      <c r="BA35" s="162"/>
      <c r="BB35" s="153"/>
      <c r="BC35" s="163"/>
      <c r="BD35" s="167"/>
      <c r="BE35" s="160"/>
      <c r="BF35" s="163"/>
      <c r="BG35" s="162"/>
      <c r="BH35" s="153"/>
      <c r="BI35" s="163"/>
      <c r="BJ35" s="168"/>
      <c r="BK35" s="153"/>
    </row>
    <row r="36" spans="2:63" s="166" customFormat="1" x14ac:dyDescent="0.25">
      <c r="B36" s="169"/>
      <c r="C36" s="145">
        <v>2</v>
      </c>
      <c r="D36" s="145">
        <v>32</v>
      </c>
      <c r="E36" s="145" t="s">
        <v>60</v>
      </c>
      <c r="F36" s="146" t="s">
        <v>395</v>
      </c>
      <c r="G36" s="147">
        <f t="shared" si="0"/>
        <v>2.633</v>
      </c>
      <c r="H36" s="170" t="s">
        <v>433</v>
      </c>
      <c r="I36" s="149">
        <v>1</v>
      </c>
      <c r="J36" s="149">
        <v>2</v>
      </c>
      <c r="K36" s="150">
        <v>47</v>
      </c>
      <c r="L36" s="151">
        <f t="shared" si="2"/>
        <v>50</v>
      </c>
      <c r="M36" s="152">
        <v>0</v>
      </c>
      <c r="N36" s="153">
        <v>7.4999999999999997E-2</v>
      </c>
      <c r="O36" s="153">
        <v>4.9000000000000002E-2</v>
      </c>
      <c r="P36" s="153">
        <v>0.19800000000000001</v>
      </c>
      <c r="Q36" s="154">
        <v>2.3109999999999999</v>
      </c>
      <c r="R36" s="155"/>
      <c r="S36" s="156">
        <f t="shared" si="6"/>
        <v>0</v>
      </c>
      <c r="T36" s="157">
        <f t="shared" si="6"/>
        <v>2.8484618306114697</v>
      </c>
      <c r="U36" s="157">
        <f t="shared" si="6"/>
        <v>1.8609950626661604</v>
      </c>
      <c r="V36" s="157">
        <f t="shared" si="6"/>
        <v>7.5199392328142807</v>
      </c>
      <c r="W36" s="157">
        <f t="shared" si="6"/>
        <v>87.770603873908087</v>
      </c>
      <c r="X36" s="158"/>
      <c r="Y36" s="157"/>
      <c r="Z36" s="156"/>
      <c r="AA36" s="157"/>
      <c r="AB36" s="154" t="s">
        <v>563</v>
      </c>
      <c r="AC36" s="154" t="s">
        <v>562</v>
      </c>
      <c r="AD36" s="153" t="s">
        <v>561</v>
      </c>
      <c r="AE36" s="155" t="s">
        <v>560</v>
      </c>
      <c r="AF36" s="159"/>
      <c r="AG36" s="160" t="s">
        <v>95</v>
      </c>
      <c r="AH36" s="163" t="str">
        <f>AB36</f>
        <v>,1122</v>
      </c>
      <c r="AI36" s="162" t="s">
        <v>99</v>
      </c>
      <c r="AJ36" s="153">
        <v>7.4999999999999997E-2</v>
      </c>
      <c r="AK36" s="163" t="s">
        <v>453</v>
      </c>
      <c r="AL36" s="164" t="s">
        <v>703</v>
      </c>
      <c r="AM36" s="160"/>
      <c r="AN36" s="163"/>
      <c r="AO36" s="162"/>
      <c r="AP36" s="153"/>
      <c r="AQ36" s="163"/>
      <c r="AR36" s="164"/>
      <c r="AS36" s="160"/>
      <c r="AT36" s="163"/>
      <c r="AU36" s="162"/>
      <c r="AV36" s="153"/>
      <c r="AW36" s="163"/>
      <c r="AX36" s="153"/>
      <c r="AY36" s="160"/>
      <c r="AZ36" s="163"/>
      <c r="BA36" s="162"/>
      <c r="BB36" s="153"/>
      <c r="BC36" s="163"/>
      <c r="BD36" s="164"/>
      <c r="BE36" s="160"/>
      <c r="BF36" s="163"/>
      <c r="BG36" s="162"/>
      <c r="BH36" s="153"/>
      <c r="BI36" s="163"/>
      <c r="BJ36" s="165"/>
      <c r="BK36" s="153"/>
    </row>
    <row r="37" spans="2:63" s="166" customFormat="1" x14ac:dyDescent="0.25">
      <c r="B37" s="169"/>
      <c r="C37" s="145">
        <v>2</v>
      </c>
      <c r="D37" s="145">
        <v>33</v>
      </c>
      <c r="E37" s="145" t="s">
        <v>61</v>
      </c>
      <c r="F37" s="146" t="s">
        <v>396</v>
      </c>
      <c r="G37" s="147">
        <f t="shared" ref="G37:G58" si="10">SUM(M37:Q37)</f>
        <v>1.9219999999999999</v>
      </c>
      <c r="H37" s="170" t="s">
        <v>433</v>
      </c>
      <c r="I37" s="149">
        <v>1</v>
      </c>
      <c r="J37" s="149">
        <v>3</v>
      </c>
      <c r="K37" s="150">
        <v>28</v>
      </c>
      <c r="L37" s="151">
        <f t="shared" si="2"/>
        <v>32</v>
      </c>
      <c r="M37" s="152">
        <v>0</v>
      </c>
      <c r="N37" s="153">
        <v>0.06</v>
      </c>
      <c r="O37" s="153">
        <v>0.10100000000000001</v>
      </c>
      <c r="P37" s="153">
        <v>0.10100000000000001</v>
      </c>
      <c r="Q37" s="154">
        <v>1.66</v>
      </c>
      <c r="R37" s="155"/>
      <c r="S37" s="156">
        <f t="shared" si="6"/>
        <v>0</v>
      </c>
      <c r="T37" s="157">
        <f t="shared" si="6"/>
        <v>3.1217481789802286</v>
      </c>
      <c r="U37" s="157">
        <f t="shared" si="6"/>
        <v>5.2549427679500527</v>
      </c>
      <c r="V37" s="157">
        <f t="shared" si="6"/>
        <v>5.2549427679500527</v>
      </c>
      <c r="W37" s="157">
        <f t="shared" si="6"/>
        <v>86.368366285119663</v>
      </c>
      <c r="X37" s="158"/>
      <c r="Y37" s="157"/>
      <c r="Z37" s="156"/>
      <c r="AA37" s="157"/>
      <c r="AB37" s="154" t="s">
        <v>567</v>
      </c>
      <c r="AC37" s="154" t="s">
        <v>566</v>
      </c>
      <c r="AD37" s="153" t="s">
        <v>565</v>
      </c>
      <c r="AE37" s="155" t="s">
        <v>564</v>
      </c>
      <c r="AF37" s="159"/>
      <c r="AG37" s="160" t="s">
        <v>95</v>
      </c>
      <c r="AH37" s="163" t="str">
        <f>AB37</f>
        <v>,1126</v>
      </c>
      <c r="AI37" s="162" t="s">
        <v>536</v>
      </c>
      <c r="AJ37" s="153">
        <v>0.06</v>
      </c>
      <c r="AK37" s="163" t="s">
        <v>453</v>
      </c>
      <c r="AL37" s="164" t="s">
        <v>703</v>
      </c>
      <c r="AM37" s="160"/>
      <c r="AN37" s="163"/>
      <c r="AO37" s="162"/>
      <c r="AP37" s="153"/>
      <c r="AQ37" s="163"/>
      <c r="AR37" s="164"/>
      <c r="AS37" s="160"/>
      <c r="AT37" s="163"/>
      <c r="AU37" s="162"/>
      <c r="AV37" s="153"/>
      <c r="AW37" s="163"/>
      <c r="AX37" s="153"/>
      <c r="AY37" s="160"/>
      <c r="AZ37" s="163"/>
      <c r="BA37" s="162"/>
      <c r="BB37" s="153"/>
      <c r="BC37" s="163"/>
      <c r="BD37" s="164"/>
      <c r="BE37" s="160"/>
      <c r="BF37" s="163"/>
      <c r="BG37" s="162"/>
      <c r="BH37" s="153"/>
      <c r="BI37" s="163"/>
      <c r="BJ37" s="165"/>
      <c r="BK37" s="153"/>
    </row>
    <row r="38" spans="2:63" s="96" customFormat="1" x14ac:dyDescent="0.25">
      <c r="B38" s="108"/>
      <c r="C38" s="19">
        <v>2</v>
      </c>
      <c r="D38" s="207">
        <v>34</v>
      </c>
      <c r="E38" s="19" t="s">
        <v>62</v>
      </c>
      <c r="F38" s="114" t="s">
        <v>397</v>
      </c>
      <c r="G38" s="97">
        <f t="shared" si="10"/>
        <v>3.9960000000000013</v>
      </c>
      <c r="H38" s="182">
        <v>1</v>
      </c>
      <c r="I38" s="47" t="s">
        <v>434</v>
      </c>
      <c r="J38" s="47">
        <v>8</v>
      </c>
      <c r="K38" s="48">
        <v>39</v>
      </c>
      <c r="L38" s="98">
        <f t="shared" si="2"/>
        <v>48</v>
      </c>
      <c r="M38" s="183">
        <v>0.502</v>
      </c>
      <c r="N38" s="249">
        <v>0</v>
      </c>
      <c r="O38" s="186">
        <v>0.12</v>
      </c>
      <c r="P38" s="42">
        <v>0.152</v>
      </c>
      <c r="Q38" s="91">
        <f>19.46-16.238</f>
        <v>3.2220000000000013</v>
      </c>
      <c r="R38" s="49"/>
      <c r="S38" s="99">
        <f t="shared" si="6"/>
        <v>12.56256256256256</v>
      </c>
      <c r="T38" s="100">
        <f t="shared" si="6"/>
        <v>0</v>
      </c>
      <c r="U38" s="100">
        <f t="shared" si="6"/>
        <v>3.0030030030030019</v>
      </c>
      <c r="V38" s="100">
        <f t="shared" si="6"/>
        <v>3.8038038038038029</v>
      </c>
      <c r="W38" s="100">
        <f t="shared" si="6"/>
        <v>80.630630630630634</v>
      </c>
      <c r="X38" s="101"/>
      <c r="Y38" s="100"/>
      <c r="Z38" s="99"/>
      <c r="AA38" s="100" t="s">
        <v>571</v>
      </c>
      <c r="AB38" s="91"/>
      <c r="AC38" s="91" t="s">
        <v>570</v>
      </c>
      <c r="AD38" s="42" t="s">
        <v>569</v>
      </c>
      <c r="AE38" s="49" t="s">
        <v>568</v>
      </c>
      <c r="AF38" s="50"/>
      <c r="AG38" s="39" t="s">
        <v>95</v>
      </c>
      <c r="AH38" s="95" t="str">
        <f>AA38</f>
        <v>,1130</v>
      </c>
      <c r="AI38" s="206" t="s">
        <v>112</v>
      </c>
      <c r="AJ38" s="42">
        <v>0.502</v>
      </c>
      <c r="AK38" s="40" t="s">
        <v>453</v>
      </c>
      <c r="AL38" s="102" t="s">
        <v>703</v>
      </c>
      <c r="AM38" s="39"/>
      <c r="AN38" s="95"/>
      <c r="AO38" s="41"/>
      <c r="AP38" s="42"/>
      <c r="AQ38" s="40"/>
      <c r="AR38" s="102"/>
      <c r="AS38" s="39"/>
      <c r="AT38" s="40"/>
      <c r="AU38" s="41"/>
      <c r="AV38" s="42"/>
      <c r="AW38" s="40"/>
      <c r="AX38" s="42"/>
      <c r="AY38" s="39"/>
      <c r="AZ38" s="40"/>
      <c r="BA38" s="41"/>
      <c r="BB38" s="42"/>
      <c r="BC38" s="40"/>
      <c r="BD38" s="102"/>
      <c r="BE38" s="39"/>
      <c r="BF38" s="40"/>
      <c r="BG38" s="41"/>
      <c r="BH38" s="42"/>
      <c r="BI38" s="40"/>
      <c r="BJ38" s="103"/>
      <c r="BK38" s="42"/>
    </row>
    <row r="39" spans="2:63" s="96" customFormat="1" x14ac:dyDescent="0.25">
      <c r="B39" s="108"/>
      <c r="C39" s="47">
        <v>2</v>
      </c>
      <c r="D39" s="208">
        <v>35</v>
      </c>
      <c r="E39" s="19" t="s">
        <v>63</v>
      </c>
      <c r="F39" s="114" t="s">
        <v>398</v>
      </c>
      <c r="G39" s="97">
        <f t="shared" si="10"/>
        <v>3.0660000000000012</v>
      </c>
      <c r="H39" s="182" t="s">
        <v>433</v>
      </c>
      <c r="I39" s="47" t="s">
        <v>434</v>
      </c>
      <c r="J39" s="47">
        <v>7</v>
      </c>
      <c r="K39" s="48">
        <v>53</v>
      </c>
      <c r="L39" s="98">
        <f t="shared" si="2"/>
        <v>60</v>
      </c>
      <c r="M39" s="121">
        <v>0</v>
      </c>
      <c r="N39" s="249">
        <v>0</v>
      </c>
      <c r="O39" s="42">
        <v>0.129</v>
      </c>
      <c r="P39" s="42">
        <v>0.221</v>
      </c>
      <c r="Q39" s="91">
        <f>19.052-16.336</f>
        <v>2.7160000000000011</v>
      </c>
      <c r="R39" s="49"/>
      <c r="S39" s="99">
        <f t="shared" si="6"/>
        <v>0</v>
      </c>
      <c r="T39" s="100">
        <f t="shared" si="6"/>
        <v>0</v>
      </c>
      <c r="U39" s="100">
        <f t="shared" si="6"/>
        <v>4.2074363992172197</v>
      </c>
      <c r="V39" s="100">
        <f t="shared" si="6"/>
        <v>7.2080887149380271</v>
      </c>
      <c r="W39" s="100">
        <f t="shared" si="6"/>
        <v>88.584474885844756</v>
      </c>
      <c r="X39" s="101"/>
      <c r="Y39" s="100"/>
      <c r="Z39" s="99"/>
      <c r="AA39" s="100"/>
      <c r="AB39" s="91"/>
      <c r="AC39" s="91" t="s">
        <v>574</v>
      </c>
      <c r="AD39" s="42" t="s">
        <v>573</v>
      </c>
      <c r="AE39" s="49" t="s">
        <v>572</v>
      </c>
      <c r="AF39" s="50"/>
      <c r="AG39" s="39"/>
      <c r="AH39" s="95"/>
      <c r="AI39" s="41"/>
      <c r="AJ39" s="42"/>
      <c r="AK39" s="40"/>
      <c r="AL39" s="102"/>
      <c r="AM39" s="39"/>
      <c r="AN39" s="95"/>
      <c r="AO39" s="41"/>
      <c r="AP39" s="42"/>
      <c r="AQ39" s="40"/>
      <c r="AR39" s="102"/>
      <c r="AS39" s="39"/>
      <c r="AT39" s="95"/>
      <c r="AU39" s="41"/>
      <c r="AV39" s="42"/>
      <c r="AW39" s="40"/>
      <c r="AX39" s="42"/>
      <c r="AY39" s="39"/>
      <c r="AZ39" s="95"/>
      <c r="BA39" s="41"/>
      <c r="BB39" s="42"/>
      <c r="BC39" s="40"/>
      <c r="BD39" s="102"/>
      <c r="BE39" s="39"/>
      <c r="BF39" s="40"/>
      <c r="BG39" s="41"/>
      <c r="BH39" s="42"/>
      <c r="BI39" s="40"/>
      <c r="BJ39" s="103"/>
      <c r="BK39" s="42"/>
    </row>
    <row r="40" spans="2:63" s="96" customFormat="1" x14ac:dyDescent="0.25">
      <c r="B40" s="108">
        <v>44700</v>
      </c>
      <c r="C40" s="19">
        <v>2</v>
      </c>
      <c r="D40" s="207">
        <v>36</v>
      </c>
      <c r="E40" s="19" t="s">
        <v>92</v>
      </c>
      <c r="F40" s="114" t="s">
        <v>399</v>
      </c>
      <c r="G40" s="97">
        <f t="shared" si="10"/>
        <v>3.077</v>
      </c>
      <c r="H40" s="182" t="s">
        <v>433</v>
      </c>
      <c r="I40" s="47">
        <v>2</v>
      </c>
      <c r="J40" s="47">
        <v>6</v>
      </c>
      <c r="K40" s="48">
        <v>40</v>
      </c>
      <c r="L40" s="98">
        <f t="shared" si="2"/>
        <v>48</v>
      </c>
      <c r="M40" s="121">
        <v>0</v>
      </c>
      <c r="N40" s="42">
        <f>0.104+0.095</f>
        <v>0.19900000000000001</v>
      </c>
      <c r="O40" s="42">
        <v>0.16900000000000001</v>
      </c>
      <c r="P40" s="42">
        <v>0.20699999999999999</v>
      </c>
      <c r="Q40" s="91">
        <v>2.5019999999999998</v>
      </c>
      <c r="R40" s="49"/>
      <c r="S40" s="99">
        <f t="shared" si="6"/>
        <v>0</v>
      </c>
      <c r="T40" s="100">
        <f t="shared" si="6"/>
        <v>6.4673383165420875</v>
      </c>
      <c r="U40" s="100">
        <f t="shared" si="6"/>
        <v>5.492362690932727</v>
      </c>
      <c r="V40" s="100">
        <f t="shared" si="6"/>
        <v>6.7273318167045817</v>
      </c>
      <c r="W40" s="100">
        <f t="shared" si="6"/>
        <v>81.312967175820589</v>
      </c>
      <c r="X40" s="101"/>
      <c r="Y40" s="100"/>
      <c r="Z40" s="99"/>
      <c r="AA40" s="100"/>
      <c r="AB40" s="91" t="s">
        <v>578</v>
      </c>
      <c r="AC40" s="91" t="s">
        <v>577</v>
      </c>
      <c r="AD40" s="42" t="s">
        <v>576</v>
      </c>
      <c r="AE40" s="49" t="s">
        <v>575</v>
      </c>
      <c r="AF40" s="50"/>
      <c r="AG40" s="39" t="s">
        <v>95</v>
      </c>
      <c r="AH40" s="95" t="str">
        <f>AB40</f>
        <v>,1137</v>
      </c>
      <c r="AI40" s="41" t="s">
        <v>99</v>
      </c>
      <c r="AJ40" s="42">
        <v>0.104</v>
      </c>
      <c r="AK40" s="40" t="s">
        <v>453</v>
      </c>
      <c r="AL40" s="102" t="s">
        <v>703</v>
      </c>
      <c r="AM40" s="39" t="s">
        <v>96</v>
      </c>
      <c r="AN40" s="95" t="str">
        <f>AB40</f>
        <v>,1137</v>
      </c>
      <c r="AO40" s="41" t="s">
        <v>99</v>
      </c>
      <c r="AP40" s="42">
        <v>9.5000000000000001E-2</v>
      </c>
      <c r="AQ40" s="40" t="s">
        <v>453</v>
      </c>
      <c r="AR40" s="102" t="s">
        <v>703</v>
      </c>
      <c r="AS40" s="39"/>
      <c r="AT40" s="95"/>
      <c r="AU40" s="41"/>
      <c r="AV40" s="42"/>
      <c r="AW40" s="40"/>
      <c r="AX40" s="42"/>
      <c r="AY40" s="39"/>
      <c r="AZ40" s="40"/>
      <c r="BA40" s="41"/>
      <c r="BB40" s="42"/>
      <c r="BC40" s="40"/>
      <c r="BD40" s="102"/>
      <c r="BE40" s="39"/>
      <c r="BF40" s="40"/>
      <c r="BG40" s="41"/>
      <c r="BH40" s="42"/>
      <c r="BI40" s="40"/>
      <c r="BJ40" s="103"/>
      <c r="BK40" s="42"/>
    </row>
    <row r="41" spans="2:63" x14ac:dyDescent="0.25">
      <c r="B41" s="105"/>
      <c r="C41" s="6">
        <v>2</v>
      </c>
      <c r="D41" s="35">
        <v>37</v>
      </c>
      <c r="E41" s="2" t="s">
        <v>93</v>
      </c>
      <c r="F41" s="113" t="s">
        <v>400</v>
      </c>
      <c r="G41" s="36">
        <f t="shared" si="10"/>
        <v>2.7789999999999999</v>
      </c>
      <c r="H41" s="54" t="s">
        <v>433</v>
      </c>
      <c r="I41" s="6">
        <v>1</v>
      </c>
      <c r="J41" s="6">
        <v>6</v>
      </c>
      <c r="K41" s="21">
        <v>46</v>
      </c>
      <c r="L41" s="22">
        <f t="shared" si="2"/>
        <v>53</v>
      </c>
      <c r="M41" s="117">
        <v>0</v>
      </c>
      <c r="N41" s="5">
        <v>0.17799999999999999</v>
      </c>
      <c r="O41" s="5">
        <v>0.187</v>
      </c>
      <c r="P41" s="5">
        <v>0.17399999999999999</v>
      </c>
      <c r="Q41" s="90">
        <v>2.2400000000000002</v>
      </c>
      <c r="R41" s="24"/>
      <c r="S41" s="25">
        <f t="shared" si="6"/>
        <v>0</v>
      </c>
      <c r="T41" s="82">
        <f t="shared" si="6"/>
        <v>6.4051817200431804</v>
      </c>
      <c r="U41" s="82">
        <f t="shared" si="6"/>
        <v>6.7290392227419931</v>
      </c>
      <c r="V41" s="82">
        <f t="shared" si="6"/>
        <v>6.261245052177042</v>
      </c>
      <c r="W41" s="82">
        <f t="shared" si="6"/>
        <v>80.604534005037792</v>
      </c>
      <c r="X41" s="27"/>
      <c r="Y41" s="82"/>
      <c r="Z41" s="25"/>
      <c r="AA41" s="82"/>
      <c r="AB41" s="90" t="s">
        <v>582</v>
      </c>
      <c r="AC41" s="90" t="s">
        <v>581</v>
      </c>
      <c r="AD41" s="5" t="s">
        <v>580</v>
      </c>
      <c r="AE41" s="24" t="s">
        <v>579</v>
      </c>
      <c r="AF41" s="53"/>
      <c r="AG41" s="29" t="s">
        <v>95</v>
      </c>
      <c r="AH41" s="4" t="str">
        <f>AB41</f>
        <v>,1141</v>
      </c>
      <c r="AI41" s="30" t="s">
        <v>99</v>
      </c>
      <c r="AJ41" s="5">
        <v>0.17799999999999999</v>
      </c>
      <c r="AK41" s="2" t="s">
        <v>453</v>
      </c>
      <c r="AL41" s="3" t="s">
        <v>703</v>
      </c>
      <c r="AM41" s="29"/>
      <c r="AO41" s="30"/>
      <c r="AP41" s="5"/>
      <c r="AQ41" s="2"/>
      <c r="AR41" s="31"/>
      <c r="AS41" s="29"/>
      <c r="AU41" s="30"/>
      <c r="AV41" s="5"/>
      <c r="AW41" s="2"/>
      <c r="AX41" s="6"/>
      <c r="AY41" s="29"/>
      <c r="BA41" s="30"/>
      <c r="BB41" s="5"/>
      <c r="BC41" s="2"/>
      <c r="BD41" s="31"/>
      <c r="BE41" s="29"/>
      <c r="BG41" s="30"/>
      <c r="BH41" s="5"/>
      <c r="BJ41" s="37"/>
      <c r="BK41" s="5"/>
    </row>
    <row r="42" spans="2:63" x14ac:dyDescent="0.25">
      <c r="B42" s="105"/>
      <c r="C42" s="35">
        <v>2</v>
      </c>
      <c r="D42" s="35">
        <v>38</v>
      </c>
      <c r="E42" s="2" t="s">
        <v>94</v>
      </c>
      <c r="F42" s="113" t="s">
        <v>401</v>
      </c>
      <c r="G42" s="36">
        <f t="shared" si="10"/>
        <v>1.9950000000000001</v>
      </c>
      <c r="H42" s="54" t="s">
        <v>433</v>
      </c>
      <c r="I42" s="6">
        <v>2</v>
      </c>
      <c r="J42" s="6">
        <v>1</v>
      </c>
      <c r="K42" s="21">
        <v>25</v>
      </c>
      <c r="L42" s="22">
        <f t="shared" si="2"/>
        <v>28</v>
      </c>
      <c r="M42" s="117">
        <v>0</v>
      </c>
      <c r="N42" s="5">
        <f>0.094+0.142</f>
        <v>0.23599999999999999</v>
      </c>
      <c r="O42" s="5">
        <v>0.02</v>
      </c>
      <c r="P42" s="5">
        <v>0.104</v>
      </c>
      <c r="Q42" s="90">
        <v>1.635</v>
      </c>
      <c r="R42" s="24"/>
      <c r="S42" s="25">
        <f t="shared" si="6"/>
        <v>0</v>
      </c>
      <c r="T42" s="82">
        <f t="shared" si="6"/>
        <v>11.829573934837091</v>
      </c>
      <c r="U42" s="82">
        <f t="shared" si="6"/>
        <v>1.0025062656641603</v>
      </c>
      <c r="V42" s="82">
        <f t="shared" si="6"/>
        <v>5.2130325814536329</v>
      </c>
      <c r="W42" s="82">
        <f t="shared" si="6"/>
        <v>81.954887218045116</v>
      </c>
      <c r="X42" s="27"/>
      <c r="Y42" s="82"/>
      <c r="Z42" s="25"/>
      <c r="AA42" s="82"/>
      <c r="AB42" s="90" t="s">
        <v>586</v>
      </c>
      <c r="AC42" s="90" t="s">
        <v>585</v>
      </c>
      <c r="AD42" s="5" t="s">
        <v>584</v>
      </c>
      <c r="AE42" s="24" t="s">
        <v>583</v>
      </c>
      <c r="AF42" s="28"/>
      <c r="AG42" s="29" t="s">
        <v>95</v>
      </c>
      <c r="AH42" s="4" t="str">
        <f>AB42</f>
        <v>,1145</v>
      </c>
      <c r="AI42" s="30" t="s">
        <v>99</v>
      </c>
      <c r="AJ42" s="5">
        <v>9.4E-2</v>
      </c>
      <c r="AK42" s="2" t="s">
        <v>453</v>
      </c>
      <c r="AL42" s="3" t="s">
        <v>703</v>
      </c>
      <c r="AM42" s="29" t="s">
        <v>96</v>
      </c>
      <c r="AN42" s="4" t="str">
        <f>AH42</f>
        <v>,1145</v>
      </c>
      <c r="AO42" s="30" t="s">
        <v>99</v>
      </c>
      <c r="AP42" s="5">
        <v>0.14199999999999999</v>
      </c>
      <c r="AQ42" s="2" t="s">
        <v>453</v>
      </c>
      <c r="AR42" s="3" t="s">
        <v>703</v>
      </c>
      <c r="AS42" s="29"/>
      <c r="AU42" s="30"/>
      <c r="AV42" s="5"/>
      <c r="AW42" s="2"/>
      <c r="AY42" s="29"/>
      <c r="BA42" s="30"/>
      <c r="BB42" s="5"/>
      <c r="BC42" s="2"/>
      <c r="BE42" s="29"/>
      <c r="BG42" s="30"/>
      <c r="BH42" s="5"/>
      <c r="BJ42" s="46"/>
      <c r="BK42" s="5"/>
    </row>
    <row r="43" spans="2:63" x14ac:dyDescent="0.25">
      <c r="B43" s="105"/>
      <c r="C43" s="35">
        <v>2</v>
      </c>
      <c r="D43" s="6">
        <v>39</v>
      </c>
      <c r="E43" s="35" t="s">
        <v>64</v>
      </c>
      <c r="F43" s="115" t="s">
        <v>402</v>
      </c>
      <c r="G43" s="36">
        <f t="shared" si="10"/>
        <v>1.2659999999999991</v>
      </c>
      <c r="H43" s="54" t="s">
        <v>433</v>
      </c>
      <c r="I43" s="6">
        <v>1</v>
      </c>
      <c r="J43" s="6">
        <v>4</v>
      </c>
      <c r="K43" s="21">
        <v>10</v>
      </c>
      <c r="L43" s="22">
        <f t="shared" si="2"/>
        <v>15</v>
      </c>
      <c r="M43" s="117">
        <v>0</v>
      </c>
      <c r="N43" s="5">
        <v>0.183</v>
      </c>
      <c r="O43" s="5">
        <v>6.6000000000000003E-2</v>
      </c>
      <c r="P43" s="5">
        <v>3.7999999999999999E-2</v>
      </c>
      <c r="Q43" s="90">
        <f>17.201-16.222</f>
        <v>0.9789999999999992</v>
      </c>
      <c r="R43" s="24"/>
      <c r="S43" s="25">
        <f t="shared" si="6"/>
        <v>0</v>
      </c>
      <c r="T43" s="82">
        <f t="shared" si="6"/>
        <v>14.454976303317546</v>
      </c>
      <c r="U43" s="82">
        <f t="shared" si="6"/>
        <v>5.2132701421800984</v>
      </c>
      <c r="V43" s="82">
        <f t="shared" si="6"/>
        <v>3.0015797788309659</v>
      </c>
      <c r="W43" s="82">
        <f t="shared" si="6"/>
        <v>77.330173775671398</v>
      </c>
      <c r="X43" s="27"/>
      <c r="Y43" s="82"/>
      <c r="Z43" s="25"/>
      <c r="AA43" s="82"/>
      <c r="AB43" s="90" t="s">
        <v>587</v>
      </c>
      <c r="AC43" s="90" t="s">
        <v>588</v>
      </c>
      <c r="AD43" s="5" t="s">
        <v>589</v>
      </c>
      <c r="AE43" s="24" t="s">
        <v>590</v>
      </c>
      <c r="AF43" s="53"/>
      <c r="AG43" s="29" t="s">
        <v>95</v>
      </c>
      <c r="AH43" s="4" t="str">
        <f>AB43</f>
        <v>,1149</v>
      </c>
      <c r="AI43" s="30" t="s">
        <v>99</v>
      </c>
      <c r="AJ43" s="5">
        <v>0.183</v>
      </c>
      <c r="AK43" s="2" t="s">
        <v>453</v>
      </c>
      <c r="AL43" s="3" t="s">
        <v>703</v>
      </c>
      <c r="AM43" s="29"/>
      <c r="AO43" s="30"/>
      <c r="AP43" s="5"/>
      <c r="AQ43" s="2"/>
      <c r="AR43" s="31"/>
      <c r="AS43" s="29"/>
      <c r="AU43" s="30"/>
      <c r="AV43" s="5"/>
      <c r="AW43" s="2"/>
      <c r="AX43" s="6"/>
      <c r="AY43" s="29"/>
      <c r="BA43" s="30"/>
      <c r="BB43" s="5"/>
      <c r="BC43" s="2"/>
      <c r="BD43" s="31"/>
      <c r="BE43" s="29"/>
      <c r="BG43" s="30"/>
      <c r="BH43" s="5"/>
      <c r="BJ43" s="37"/>
      <c r="BK43" s="5"/>
    </row>
    <row r="44" spans="2:63" x14ac:dyDescent="0.25">
      <c r="B44" s="105"/>
      <c r="C44" s="19">
        <v>2</v>
      </c>
      <c r="D44" s="35">
        <v>40</v>
      </c>
      <c r="E44" s="35" t="s">
        <v>65</v>
      </c>
      <c r="F44" s="113" t="s">
        <v>403</v>
      </c>
      <c r="G44" s="36">
        <f t="shared" si="10"/>
        <v>1.327000000000002</v>
      </c>
      <c r="H44" s="54" t="s">
        <v>433</v>
      </c>
      <c r="I44" s="6" t="s">
        <v>433</v>
      </c>
      <c r="J44" s="6">
        <v>3</v>
      </c>
      <c r="K44" s="21">
        <v>19</v>
      </c>
      <c r="L44" s="22">
        <f t="shared" si="2"/>
        <v>22</v>
      </c>
      <c r="M44" s="117">
        <v>0</v>
      </c>
      <c r="N44" s="118">
        <v>0</v>
      </c>
      <c r="O44" s="5">
        <v>3.5999999999999997E-2</v>
      </c>
      <c r="P44" s="5">
        <v>8.3000000000000004E-2</v>
      </c>
      <c r="Q44" s="90">
        <f>17.384-16.176</f>
        <v>1.208000000000002</v>
      </c>
      <c r="R44" s="24"/>
      <c r="S44" s="25">
        <f t="shared" si="6"/>
        <v>0</v>
      </c>
      <c r="T44" s="82">
        <f t="shared" si="6"/>
        <v>0</v>
      </c>
      <c r="U44" s="82">
        <f t="shared" si="6"/>
        <v>2.7128862094950974</v>
      </c>
      <c r="V44" s="82">
        <f t="shared" si="6"/>
        <v>6.2547098718914755</v>
      </c>
      <c r="W44" s="82">
        <f t="shared" si="6"/>
        <v>91.032403918613426</v>
      </c>
      <c r="X44" s="27"/>
      <c r="Y44" s="82"/>
      <c r="Z44" s="25"/>
      <c r="AA44" s="82"/>
      <c r="AB44" s="90"/>
      <c r="AC44" s="90" t="s">
        <v>593</v>
      </c>
      <c r="AD44" s="5" t="s">
        <v>592</v>
      </c>
      <c r="AE44" s="24" t="s">
        <v>591</v>
      </c>
      <c r="AF44" s="53"/>
      <c r="AG44" s="29"/>
      <c r="AI44" s="30"/>
      <c r="AJ44" s="5"/>
      <c r="AM44" s="29"/>
      <c r="AN44" s="79"/>
      <c r="AO44" s="30"/>
      <c r="AP44" s="5"/>
      <c r="AQ44" s="2"/>
      <c r="AR44" s="31"/>
      <c r="AS44" s="29"/>
      <c r="AU44" s="30"/>
      <c r="AV44" s="5"/>
      <c r="AW44" s="2"/>
      <c r="AX44" s="6"/>
      <c r="AY44" s="29"/>
      <c r="BA44" s="30"/>
      <c r="BB44" s="5"/>
      <c r="BC44" s="2"/>
      <c r="BD44" s="31"/>
      <c r="BE44" s="29"/>
      <c r="BG44" s="30"/>
      <c r="BH44" s="5"/>
      <c r="BJ44" s="37"/>
      <c r="BK44" s="5"/>
    </row>
    <row r="45" spans="2:63" x14ac:dyDescent="0.25">
      <c r="B45" s="105">
        <v>44704</v>
      </c>
      <c r="C45" s="6">
        <v>2</v>
      </c>
      <c r="D45" s="35">
        <v>41</v>
      </c>
      <c r="E45" s="35" t="s">
        <v>66</v>
      </c>
      <c r="F45" s="113" t="s">
        <v>404</v>
      </c>
      <c r="G45" s="36">
        <f t="shared" si="10"/>
        <v>2.109</v>
      </c>
      <c r="H45" s="54" t="s">
        <v>433</v>
      </c>
      <c r="I45" s="6">
        <v>1</v>
      </c>
      <c r="J45" s="6">
        <v>7</v>
      </c>
      <c r="K45" s="21">
        <v>22</v>
      </c>
      <c r="L45" s="22">
        <f t="shared" si="2"/>
        <v>30</v>
      </c>
      <c r="M45" s="117">
        <v>0</v>
      </c>
      <c r="N45" s="5">
        <v>8.4000000000000005E-2</v>
      </c>
      <c r="O45" s="5">
        <v>0.13500000000000001</v>
      </c>
      <c r="P45" s="5">
        <v>8.5999999999999993E-2</v>
      </c>
      <c r="Q45" s="90">
        <v>1.804</v>
      </c>
      <c r="R45" s="24"/>
      <c r="S45" s="25">
        <f t="shared" si="6"/>
        <v>0</v>
      </c>
      <c r="T45" s="82">
        <f t="shared" si="6"/>
        <v>3.9829302987197721</v>
      </c>
      <c r="U45" s="82">
        <f t="shared" si="6"/>
        <v>6.4011379800853492</v>
      </c>
      <c r="V45" s="82">
        <f t="shared" si="6"/>
        <v>4.0777619724988137</v>
      </c>
      <c r="W45" s="82">
        <f t="shared" si="6"/>
        <v>85.538169748696063</v>
      </c>
      <c r="X45" s="27"/>
      <c r="Y45" s="82"/>
      <c r="Z45" s="25"/>
      <c r="AA45" s="82"/>
      <c r="AB45" s="90" t="s">
        <v>597</v>
      </c>
      <c r="AC45" s="90" t="s">
        <v>596</v>
      </c>
      <c r="AD45" s="5" t="s">
        <v>595</v>
      </c>
      <c r="AE45" s="24" t="s">
        <v>594</v>
      </c>
      <c r="AF45" s="53"/>
      <c r="AG45" s="29" t="s">
        <v>95</v>
      </c>
      <c r="AH45" s="4" t="str">
        <f>AB45</f>
        <v>,1156</v>
      </c>
      <c r="AI45" s="30" t="s">
        <v>99</v>
      </c>
      <c r="AJ45" s="5">
        <v>8.4000000000000005E-2</v>
      </c>
      <c r="AK45" s="2" t="s">
        <v>453</v>
      </c>
      <c r="AL45" s="3" t="s">
        <v>703</v>
      </c>
      <c r="AM45" s="29"/>
      <c r="AO45" s="30"/>
      <c r="AP45" s="5"/>
      <c r="AQ45" s="2"/>
      <c r="AR45" s="31"/>
      <c r="AS45" s="29"/>
      <c r="AU45" s="30"/>
      <c r="AV45" s="5"/>
      <c r="AW45" s="2"/>
      <c r="AX45" s="6"/>
      <c r="AY45" s="29"/>
      <c r="BA45" s="30"/>
      <c r="BB45" s="5"/>
      <c r="BC45" s="2"/>
      <c r="BD45" s="31"/>
      <c r="BE45" s="29"/>
      <c r="BG45" s="30"/>
      <c r="BH45" s="5"/>
      <c r="BJ45" s="37"/>
      <c r="BK45" s="5"/>
    </row>
    <row r="46" spans="2:63" x14ac:dyDescent="0.25">
      <c r="B46" s="105"/>
      <c r="C46" s="35">
        <v>2</v>
      </c>
      <c r="D46" s="35">
        <v>42</v>
      </c>
      <c r="E46" s="35" t="s">
        <v>67</v>
      </c>
      <c r="F46" s="113" t="s">
        <v>405</v>
      </c>
      <c r="G46" s="36">
        <f t="shared" si="10"/>
        <v>3.964</v>
      </c>
      <c r="H46" s="54" t="s">
        <v>433</v>
      </c>
      <c r="I46" s="6">
        <v>5</v>
      </c>
      <c r="J46" s="6">
        <v>8</v>
      </c>
      <c r="K46" s="21">
        <v>35</v>
      </c>
      <c r="L46" s="22">
        <f t="shared" si="2"/>
        <v>48</v>
      </c>
      <c r="M46" s="117">
        <v>0</v>
      </c>
      <c r="N46" s="5">
        <f>0.197+0.151+0.153+0.109+0.301</f>
        <v>0.91100000000000003</v>
      </c>
      <c r="O46" s="5">
        <v>0.159</v>
      </c>
      <c r="P46" s="5">
        <v>0.16</v>
      </c>
      <c r="Q46" s="90">
        <v>2.734</v>
      </c>
      <c r="R46" s="24"/>
      <c r="S46" s="25">
        <f t="shared" si="6"/>
        <v>0</v>
      </c>
      <c r="T46" s="82">
        <f t="shared" si="6"/>
        <v>22.98183652875883</v>
      </c>
      <c r="U46" s="82">
        <f t="shared" si="6"/>
        <v>4.0110998990918265</v>
      </c>
      <c r="V46" s="82">
        <f t="shared" si="6"/>
        <v>4.0363269424823409</v>
      </c>
      <c r="W46" s="82">
        <f t="shared" si="6"/>
        <v>68.970736629667002</v>
      </c>
      <c r="X46" s="27"/>
      <c r="Y46" s="82"/>
      <c r="Z46" s="25"/>
      <c r="AA46" s="82"/>
      <c r="AB46" s="90" t="s">
        <v>601</v>
      </c>
      <c r="AC46" s="90" t="s">
        <v>600</v>
      </c>
      <c r="AD46" s="5" t="s">
        <v>599</v>
      </c>
      <c r="AE46" s="24" t="s">
        <v>598</v>
      </c>
      <c r="AF46" s="53"/>
      <c r="AG46" s="29" t="s">
        <v>95</v>
      </c>
      <c r="AH46" s="4" t="str">
        <f>AB46</f>
        <v>,1160</v>
      </c>
      <c r="AI46" s="30" t="s">
        <v>99</v>
      </c>
      <c r="AJ46" s="5">
        <v>0.19700000000000001</v>
      </c>
      <c r="AK46" s="2" t="s">
        <v>453</v>
      </c>
      <c r="AL46" s="3" t="s">
        <v>703</v>
      </c>
      <c r="AM46" s="29" t="s">
        <v>96</v>
      </c>
      <c r="AN46" s="4" t="str">
        <f>AH46</f>
        <v>,1160</v>
      </c>
      <c r="AO46" s="30" t="s">
        <v>99</v>
      </c>
      <c r="AP46" s="5">
        <v>0.151</v>
      </c>
      <c r="AQ46" s="2" t="s">
        <v>453</v>
      </c>
      <c r="AR46" s="31" t="s">
        <v>703</v>
      </c>
      <c r="AS46" s="29" t="s">
        <v>114</v>
      </c>
      <c r="AT46" s="4" t="str">
        <f>AN46</f>
        <v>,1160</v>
      </c>
      <c r="AU46" s="30" t="s">
        <v>99</v>
      </c>
      <c r="AV46" s="5">
        <v>0.153</v>
      </c>
      <c r="AW46" s="2" t="s">
        <v>453</v>
      </c>
      <c r="AX46" s="6" t="s">
        <v>703</v>
      </c>
      <c r="AY46" s="29" t="s">
        <v>123</v>
      </c>
      <c r="AZ46" s="4" t="str">
        <f>AT46</f>
        <v>,1160</v>
      </c>
      <c r="BA46" s="30" t="s">
        <v>99</v>
      </c>
      <c r="BB46" s="5">
        <v>0.109</v>
      </c>
      <c r="BC46" s="2" t="s">
        <v>453</v>
      </c>
      <c r="BD46" s="31" t="s">
        <v>703</v>
      </c>
      <c r="BE46" s="29" t="s">
        <v>294</v>
      </c>
      <c r="BF46" s="4" t="str">
        <f>AZ46</f>
        <v>,1160</v>
      </c>
      <c r="BG46" s="30" t="s">
        <v>99</v>
      </c>
      <c r="BH46" s="5">
        <v>0.30099999999999999</v>
      </c>
      <c r="BI46" s="2" t="s">
        <v>453</v>
      </c>
      <c r="BJ46" s="37" t="s">
        <v>703</v>
      </c>
      <c r="BK46" s="5"/>
    </row>
    <row r="47" spans="2:63" x14ac:dyDescent="0.25">
      <c r="B47" s="105"/>
      <c r="C47" s="6">
        <v>2</v>
      </c>
      <c r="D47" s="35">
        <v>43</v>
      </c>
      <c r="E47" s="35" t="s">
        <v>68</v>
      </c>
      <c r="F47" s="113" t="s">
        <v>406</v>
      </c>
      <c r="G47" s="36">
        <f t="shared" si="10"/>
        <v>3.1229999999999971</v>
      </c>
      <c r="H47" s="54" t="s">
        <v>433</v>
      </c>
      <c r="I47" s="6">
        <v>1</v>
      </c>
      <c r="J47" s="6">
        <v>12</v>
      </c>
      <c r="K47" s="21">
        <v>36</v>
      </c>
      <c r="L47" s="22">
        <f t="shared" si="2"/>
        <v>49</v>
      </c>
      <c r="M47" s="117">
        <v>0</v>
      </c>
      <c r="N47" s="5">
        <f>0.128</f>
        <v>0.128</v>
      </c>
      <c r="O47" s="5">
        <f>0.216+0.051</f>
        <v>0.26700000000000002</v>
      </c>
      <c r="P47" s="5">
        <v>0.14599999999999999</v>
      </c>
      <c r="Q47" s="90">
        <f>18.74-16.158</f>
        <v>2.5819999999999972</v>
      </c>
      <c r="R47" s="24"/>
      <c r="S47" s="25">
        <f t="shared" si="6"/>
        <v>0</v>
      </c>
      <c r="T47" s="82">
        <f t="shared" si="6"/>
        <v>4.0986231187960334</v>
      </c>
      <c r="U47" s="82">
        <f t="shared" si="6"/>
        <v>8.5494716618636009</v>
      </c>
      <c r="V47" s="82">
        <f t="shared" si="6"/>
        <v>4.6749919948767253</v>
      </c>
      <c r="W47" s="82">
        <f t="shared" si="6"/>
        <v>82.676913224463647</v>
      </c>
      <c r="X47" s="27"/>
      <c r="Y47" s="82"/>
      <c r="Z47" s="25"/>
      <c r="AA47" s="82"/>
      <c r="AB47" s="90" t="s">
        <v>605</v>
      </c>
      <c r="AC47" s="90" t="s">
        <v>604</v>
      </c>
      <c r="AD47" s="5" t="s">
        <v>603</v>
      </c>
      <c r="AE47" s="24" t="s">
        <v>602</v>
      </c>
      <c r="AF47" s="28"/>
      <c r="AG47" s="29" t="s">
        <v>95</v>
      </c>
      <c r="AH47" s="4" t="str">
        <f t="shared" ref="AH47:AH54" si="11">AB47</f>
        <v>,1164</v>
      </c>
      <c r="AI47" s="30" t="s">
        <v>99</v>
      </c>
      <c r="AJ47" s="5">
        <v>0.128</v>
      </c>
      <c r="AK47" s="2" t="s">
        <v>453</v>
      </c>
      <c r="AL47" s="3" t="s">
        <v>703</v>
      </c>
      <c r="AM47" s="29"/>
      <c r="AN47" s="4"/>
      <c r="AO47" s="30"/>
      <c r="AP47" s="5"/>
      <c r="AQ47" s="2"/>
      <c r="AS47" s="29"/>
      <c r="AU47" s="30"/>
      <c r="AV47" s="5"/>
      <c r="AW47" s="2"/>
      <c r="AY47" s="29"/>
      <c r="BA47" s="30"/>
      <c r="BB47" s="5"/>
      <c r="BC47" s="2"/>
      <c r="BE47" s="29"/>
      <c r="BG47" s="30"/>
      <c r="BH47" s="5"/>
      <c r="BJ47" s="46"/>
      <c r="BK47" s="5"/>
    </row>
    <row r="48" spans="2:63" x14ac:dyDescent="0.25">
      <c r="B48" s="105">
        <v>44705</v>
      </c>
      <c r="C48" s="35">
        <v>2</v>
      </c>
      <c r="D48" s="19">
        <v>44</v>
      </c>
      <c r="E48" s="35" t="s">
        <v>69</v>
      </c>
      <c r="F48" s="113" t="s">
        <v>407</v>
      </c>
      <c r="G48" s="36">
        <f t="shared" si="10"/>
        <v>3.1320000000000001</v>
      </c>
      <c r="H48" s="54" t="s">
        <v>434</v>
      </c>
      <c r="I48" s="6" t="s">
        <v>433</v>
      </c>
      <c r="J48" s="6">
        <v>1</v>
      </c>
      <c r="K48" s="21">
        <v>37</v>
      </c>
      <c r="L48" s="22">
        <f t="shared" si="2"/>
        <v>38</v>
      </c>
      <c r="M48" s="117">
        <v>0</v>
      </c>
      <c r="N48" s="127">
        <v>0</v>
      </c>
      <c r="O48" s="5">
        <v>1.6E-2</v>
      </c>
      <c r="P48" s="5">
        <v>0.16</v>
      </c>
      <c r="Q48" s="90">
        <v>2.956</v>
      </c>
      <c r="R48" s="24"/>
      <c r="S48" s="25">
        <f t="shared" si="6"/>
        <v>0</v>
      </c>
      <c r="T48" s="82">
        <f t="shared" si="6"/>
        <v>0</v>
      </c>
      <c r="U48" s="82">
        <f t="shared" si="6"/>
        <v>0.51085568326947639</v>
      </c>
      <c r="V48" s="82">
        <f t="shared" si="6"/>
        <v>5.108556832694763</v>
      </c>
      <c r="W48" s="82">
        <f t="shared" si="6"/>
        <v>94.380587484035757</v>
      </c>
      <c r="X48" s="27"/>
      <c r="Y48" s="82"/>
      <c r="Z48" s="25"/>
      <c r="AA48" s="82"/>
      <c r="AB48" s="90"/>
      <c r="AC48" s="90" t="s">
        <v>608</v>
      </c>
      <c r="AD48" s="5" t="s">
        <v>607</v>
      </c>
      <c r="AE48" s="24" t="s">
        <v>606</v>
      </c>
      <c r="AF48" s="28"/>
      <c r="AG48" s="29"/>
      <c r="AH48" s="4"/>
      <c r="AI48" s="72"/>
      <c r="AJ48" s="5"/>
      <c r="AM48" s="29"/>
      <c r="AO48" s="30"/>
      <c r="AP48" s="5"/>
      <c r="AQ48" s="2"/>
      <c r="AS48" s="29"/>
      <c r="AU48" s="30"/>
      <c r="AV48" s="5"/>
      <c r="AW48" s="2"/>
      <c r="AY48" s="29"/>
      <c r="BA48" s="30"/>
      <c r="BB48" s="5"/>
      <c r="BC48" s="2"/>
      <c r="BE48" s="29"/>
      <c r="BG48" s="30"/>
      <c r="BH48" s="5"/>
      <c r="BJ48" s="46"/>
      <c r="BK48" s="5"/>
    </row>
    <row r="49" spans="2:63" x14ac:dyDescent="0.25">
      <c r="B49" s="105"/>
      <c r="C49" s="35">
        <v>2</v>
      </c>
      <c r="D49" s="35">
        <v>45</v>
      </c>
      <c r="E49" s="35" t="s">
        <v>70</v>
      </c>
      <c r="F49" s="115" t="s">
        <v>408</v>
      </c>
      <c r="G49" s="36">
        <f t="shared" si="10"/>
        <v>3.04</v>
      </c>
      <c r="H49" s="54" t="s">
        <v>433</v>
      </c>
      <c r="I49" s="6">
        <v>1</v>
      </c>
      <c r="J49" s="6">
        <v>4</v>
      </c>
      <c r="K49" s="21">
        <v>32</v>
      </c>
      <c r="L49" s="22">
        <f t="shared" si="2"/>
        <v>37</v>
      </c>
      <c r="M49" s="117">
        <v>0</v>
      </c>
      <c r="N49" s="5">
        <v>7.6999999999999999E-2</v>
      </c>
      <c r="O49" s="5">
        <v>5.3999999999999999E-2</v>
      </c>
      <c r="P49" s="5">
        <v>0.128</v>
      </c>
      <c r="Q49" s="90">
        <v>2.7810000000000001</v>
      </c>
      <c r="R49" s="24"/>
      <c r="S49" s="25">
        <f t="shared" si="6"/>
        <v>0</v>
      </c>
      <c r="T49" s="82">
        <f t="shared" si="6"/>
        <v>2.5328947368421053</v>
      </c>
      <c r="U49" s="82">
        <f t="shared" si="6"/>
        <v>1.7763157894736841</v>
      </c>
      <c r="V49" s="82">
        <f t="shared" si="6"/>
        <v>4.2105263157894735</v>
      </c>
      <c r="W49" s="82">
        <f t="shared" si="6"/>
        <v>91.48026315789474</v>
      </c>
      <c r="X49" s="27"/>
      <c r="Y49" s="82"/>
      <c r="Z49" s="25"/>
      <c r="AA49" s="82"/>
      <c r="AB49" s="90" t="s">
        <v>612</v>
      </c>
      <c r="AC49" s="90" t="s">
        <v>611</v>
      </c>
      <c r="AD49" s="5" t="s">
        <v>610</v>
      </c>
      <c r="AE49" s="24" t="s">
        <v>609</v>
      </c>
      <c r="AF49" s="53"/>
      <c r="AG49" s="29" t="s">
        <v>95</v>
      </c>
      <c r="AH49" s="4" t="str">
        <f t="shared" si="11"/>
        <v>,1171</v>
      </c>
      <c r="AI49" s="30" t="s">
        <v>99</v>
      </c>
      <c r="AJ49" s="5">
        <v>7.6999999999999999E-2</v>
      </c>
      <c r="AK49" s="2" t="s">
        <v>453</v>
      </c>
      <c r="AL49" s="3" t="s">
        <v>703</v>
      </c>
      <c r="AM49" s="29"/>
      <c r="AO49" s="30"/>
      <c r="AP49" s="5"/>
      <c r="AQ49" s="2"/>
      <c r="AR49" s="31"/>
      <c r="AS49" s="29"/>
      <c r="AU49" s="30"/>
      <c r="AV49" s="5"/>
      <c r="AW49" s="2"/>
      <c r="AX49" s="6"/>
      <c r="AY49" s="29"/>
      <c r="BA49" s="30"/>
      <c r="BB49" s="5"/>
      <c r="BC49" s="2"/>
      <c r="BD49" s="31"/>
      <c r="BE49" s="29"/>
      <c r="BG49" s="30"/>
      <c r="BH49" s="5"/>
      <c r="BJ49" s="37"/>
      <c r="BK49" s="5"/>
    </row>
    <row r="50" spans="2:63" x14ac:dyDescent="0.25">
      <c r="B50" s="105"/>
      <c r="C50" s="19">
        <v>2</v>
      </c>
      <c r="D50" s="35">
        <v>46</v>
      </c>
      <c r="E50" s="35" t="s">
        <v>71</v>
      </c>
      <c r="F50" s="113" t="s">
        <v>409</v>
      </c>
      <c r="G50" s="36">
        <f t="shared" si="10"/>
        <v>2.9290000000000003</v>
      </c>
      <c r="H50" s="54" t="s">
        <v>433</v>
      </c>
      <c r="I50" s="6">
        <v>1</v>
      </c>
      <c r="J50" s="6">
        <v>5</v>
      </c>
      <c r="K50" s="21">
        <v>37</v>
      </c>
      <c r="L50" s="22">
        <f t="shared" si="2"/>
        <v>43</v>
      </c>
      <c r="M50" s="117">
        <v>0</v>
      </c>
      <c r="N50" s="5">
        <v>6.8000000000000005E-2</v>
      </c>
      <c r="O50" s="5">
        <v>0.11799999999999999</v>
      </c>
      <c r="P50" s="5">
        <v>0.156</v>
      </c>
      <c r="Q50" s="90">
        <v>2.5870000000000002</v>
      </c>
      <c r="R50" s="24"/>
      <c r="S50" s="25">
        <f t="shared" si="6"/>
        <v>0</v>
      </c>
      <c r="T50" s="82">
        <f t="shared" si="6"/>
        <v>2.3216114714919769</v>
      </c>
      <c r="U50" s="82">
        <f t="shared" si="6"/>
        <v>4.0286787299419586</v>
      </c>
      <c r="V50" s="82">
        <f t="shared" si="6"/>
        <v>5.3260498463639463</v>
      </c>
      <c r="W50" s="82">
        <f t="shared" si="6"/>
        <v>88.323659952202121</v>
      </c>
      <c r="X50" s="27"/>
      <c r="Y50" s="82"/>
      <c r="Z50" s="25"/>
      <c r="AA50" s="82"/>
      <c r="AB50" s="90" t="s">
        <v>616</v>
      </c>
      <c r="AC50" s="90" t="s">
        <v>615</v>
      </c>
      <c r="AD50" s="5" t="s">
        <v>614</v>
      </c>
      <c r="AE50" s="24" t="s">
        <v>613</v>
      </c>
      <c r="AF50" s="28"/>
      <c r="AG50" s="29" t="s">
        <v>95</v>
      </c>
      <c r="AH50" s="4" t="str">
        <f t="shared" si="11"/>
        <v>,1175</v>
      </c>
      <c r="AI50" s="30" t="s">
        <v>99</v>
      </c>
      <c r="AJ50" s="5">
        <v>6.8000000000000005E-2</v>
      </c>
      <c r="AK50" s="2" t="s">
        <v>453</v>
      </c>
      <c r="AL50" s="3" t="s">
        <v>703</v>
      </c>
      <c r="AM50" s="29"/>
      <c r="AO50" s="30"/>
      <c r="AP50" s="5"/>
      <c r="AQ50" s="2"/>
      <c r="AS50" s="29"/>
      <c r="AU50" s="30"/>
      <c r="AV50" s="5"/>
      <c r="AW50" s="2"/>
      <c r="AY50" s="29"/>
      <c r="BA50" s="30"/>
      <c r="BB50" s="5"/>
      <c r="BC50" s="2"/>
      <c r="BE50" s="29"/>
      <c r="BG50" s="30"/>
      <c r="BH50" s="5"/>
      <c r="BJ50" s="46"/>
      <c r="BK50" s="5"/>
    </row>
    <row r="51" spans="2:63" x14ac:dyDescent="0.25">
      <c r="B51" s="105"/>
      <c r="C51" s="6">
        <v>2</v>
      </c>
      <c r="D51" s="35">
        <v>47</v>
      </c>
      <c r="E51" s="35" t="s">
        <v>72</v>
      </c>
      <c r="F51" s="113" t="s">
        <v>410</v>
      </c>
      <c r="G51" s="36">
        <f t="shared" si="10"/>
        <v>3.2009999999999983</v>
      </c>
      <c r="H51" s="54" t="s">
        <v>433</v>
      </c>
      <c r="I51" s="6">
        <v>1</v>
      </c>
      <c r="J51" s="6">
        <v>7</v>
      </c>
      <c r="K51" s="21">
        <v>39</v>
      </c>
      <c r="L51" s="22">
        <f t="shared" si="2"/>
        <v>47</v>
      </c>
      <c r="M51" s="117">
        <v>0</v>
      </c>
      <c r="N51" s="5">
        <v>7.0000000000000007E-2</v>
      </c>
      <c r="O51" s="5">
        <v>0.121</v>
      </c>
      <c r="P51" s="5">
        <v>0.17699999999999999</v>
      </c>
      <c r="Q51" s="90">
        <f>19.034-16.201</f>
        <v>2.8329999999999984</v>
      </c>
      <c r="R51" s="24"/>
      <c r="S51" s="25">
        <f t="shared" si="6"/>
        <v>0</v>
      </c>
      <c r="T51" s="82">
        <f t="shared" si="6"/>
        <v>2.1868166198063119</v>
      </c>
      <c r="U51" s="82">
        <f t="shared" si="6"/>
        <v>3.7800687285223384</v>
      </c>
      <c r="V51" s="82">
        <f t="shared" si="6"/>
        <v>5.5295220243673882</v>
      </c>
      <c r="W51" s="82">
        <f t="shared" si="6"/>
        <v>88.503592627303959</v>
      </c>
      <c r="X51" s="27"/>
      <c r="Y51" s="82"/>
      <c r="Z51" s="25"/>
      <c r="AA51" s="82"/>
      <c r="AB51" s="90" t="s">
        <v>620</v>
      </c>
      <c r="AC51" s="90" t="s">
        <v>619</v>
      </c>
      <c r="AD51" s="5" t="s">
        <v>618</v>
      </c>
      <c r="AE51" s="24" t="s">
        <v>617</v>
      </c>
      <c r="AF51" s="28"/>
      <c r="AG51" s="29" t="s">
        <v>95</v>
      </c>
      <c r="AH51" s="4" t="str">
        <f t="shared" si="11"/>
        <v>,1179</v>
      </c>
      <c r="AI51" s="30" t="s">
        <v>99</v>
      </c>
      <c r="AJ51" s="5">
        <v>7.0000000000000007E-2</v>
      </c>
      <c r="AK51" s="2" t="s">
        <v>453</v>
      </c>
      <c r="AL51" s="3" t="s">
        <v>703</v>
      </c>
      <c r="AM51" s="29"/>
      <c r="AO51" s="30"/>
      <c r="AP51" s="5"/>
      <c r="AQ51" s="2"/>
      <c r="AS51" s="29"/>
      <c r="AU51" s="30"/>
      <c r="AV51" s="5"/>
      <c r="AW51" s="2"/>
      <c r="AY51" s="29"/>
      <c r="BA51" s="30"/>
      <c r="BB51" s="5"/>
      <c r="BC51" s="2"/>
      <c r="BE51" s="29"/>
      <c r="BG51" s="30"/>
      <c r="BH51" s="5"/>
      <c r="BJ51" s="46"/>
      <c r="BK51" s="5"/>
    </row>
    <row r="52" spans="2:63" x14ac:dyDescent="0.25">
      <c r="B52" s="105"/>
      <c r="C52" s="35">
        <v>2</v>
      </c>
      <c r="D52" s="35">
        <v>48</v>
      </c>
      <c r="E52" s="35" t="s">
        <v>73</v>
      </c>
      <c r="F52" s="113" t="s">
        <v>411</v>
      </c>
      <c r="G52" s="36">
        <f t="shared" si="10"/>
        <v>3.1319999999999992</v>
      </c>
      <c r="H52" s="54" t="s">
        <v>433</v>
      </c>
      <c r="I52" s="6">
        <v>2</v>
      </c>
      <c r="J52" s="6">
        <v>5</v>
      </c>
      <c r="K52" s="21">
        <v>29</v>
      </c>
      <c r="L52" s="22">
        <f t="shared" si="2"/>
        <v>36</v>
      </c>
      <c r="M52" s="117">
        <v>0</v>
      </c>
      <c r="N52" s="5">
        <f>0.33+0.189</f>
        <v>0.51900000000000002</v>
      </c>
      <c r="O52" s="5">
        <f>0.048+0.05+0.045</f>
        <v>0.14300000000000002</v>
      </c>
      <c r="P52" s="5">
        <v>0.11899999999999999</v>
      </c>
      <c r="Q52" s="90">
        <f>18.926-16.575</f>
        <v>2.3509999999999991</v>
      </c>
      <c r="R52" s="24"/>
      <c r="S52" s="25">
        <f t="shared" si="6"/>
        <v>0</v>
      </c>
      <c r="T52" s="82">
        <f t="shared" si="6"/>
        <v>16.570881226053643</v>
      </c>
      <c r="U52" s="82">
        <f t="shared" si="6"/>
        <v>4.5657726692209462</v>
      </c>
      <c r="V52" s="82">
        <f t="shared" si="6"/>
        <v>3.7994891443167313</v>
      </c>
      <c r="W52" s="82">
        <f t="shared" si="6"/>
        <v>75.063856960408671</v>
      </c>
      <c r="X52" s="27"/>
      <c r="Y52" s="82"/>
      <c r="Z52" s="25"/>
      <c r="AA52" s="82"/>
      <c r="AB52" s="90" t="s">
        <v>624</v>
      </c>
      <c r="AC52" s="90" t="s">
        <v>623</v>
      </c>
      <c r="AD52" s="5" t="s">
        <v>622</v>
      </c>
      <c r="AE52" s="24" t="s">
        <v>621</v>
      </c>
      <c r="AF52" s="28"/>
      <c r="AG52" s="29" t="s">
        <v>95</v>
      </c>
      <c r="AH52" s="4" t="str">
        <f t="shared" si="11"/>
        <v>,1183</v>
      </c>
      <c r="AI52" s="30" t="s">
        <v>99</v>
      </c>
      <c r="AJ52" s="5">
        <v>0.33</v>
      </c>
      <c r="AK52" s="2" t="s">
        <v>453</v>
      </c>
      <c r="AL52" s="3" t="s">
        <v>703</v>
      </c>
      <c r="AM52" s="29" t="s">
        <v>96</v>
      </c>
      <c r="AN52" s="4" t="str">
        <f>AH52</f>
        <v>,1183</v>
      </c>
      <c r="AO52" s="30" t="s">
        <v>99</v>
      </c>
      <c r="AP52" s="5">
        <v>0.189</v>
      </c>
      <c r="AQ52" s="2" t="s">
        <v>453</v>
      </c>
      <c r="AR52" s="3" t="s">
        <v>703</v>
      </c>
      <c r="AS52" s="29"/>
      <c r="AT52" s="4"/>
      <c r="AU52" s="30"/>
      <c r="AV52" s="5"/>
      <c r="AW52" s="2"/>
      <c r="AY52" s="29"/>
      <c r="AZ52" s="4"/>
      <c r="BA52" s="30"/>
      <c r="BB52" s="5"/>
      <c r="BC52" s="2"/>
      <c r="BE52" s="29"/>
      <c r="BG52" s="30"/>
      <c r="BH52" s="5"/>
      <c r="BJ52" s="46"/>
      <c r="BK52" s="5"/>
    </row>
    <row r="53" spans="2:63" x14ac:dyDescent="0.25">
      <c r="B53" s="105"/>
      <c r="C53" s="6">
        <v>2</v>
      </c>
      <c r="D53" s="35">
        <v>49</v>
      </c>
      <c r="E53" s="35" t="s">
        <v>74</v>
      </c>
      <c r="F53" s="113" t="s">
        <v>412</v>
      </c>
      <c r="G53" s="36">
        <f t="shared" si="10"/>
        <v>3.99</v>
      </c>
      <c r="H53" s="54" t="s">
        <v>433</v>
      </c>
      <c r="I53" s="6">
        <v>2</v>
      </c>
      <c r="J53" s="6">
        <v>15</v>
      </c>
      <c r="K53" s="21">
        <v>22</v>
      </c>
      <c r="L53" s="22">
        <f t="shared" si="2"/>
        <v>39</v>
      </c>
      <c r="M53" s="117">
        <v>0</v>
      </c>
      <c r="N53" s="5">
        <f>0.258+0.157</f>
        <v>0.41500000000000004</v>
      </c>
      <c r="O53" s="5">
        <f>0.247+0.048</f>
        <v>0.29499999999999998</v>
      </c>
      <c r="P53" s="5">
        <v>8.5000000000000006E-2</v>
      </c>
      <c r="Q53" s="90">
        <f>19.366-16.171</f>
        <v>3.1950000000000003</v>
      </c>
      <c r="R53" s="24"/>
      <c r="S53" s="25">
        <f t="shared" ref="S53:W70" si="12">M53/$G53*100</f>
        <v>0</v>
      </c>
      <c r="T53" s="82">
        <f t="shared" si="12"/>
        <v>10.401002506265664</v>
      </c>
      <c r="U53" s="82">
        <f t="shared" si="12"/>
        <v>7.3934837092731822</v>
      </c>
      <c r="V53" s="82">
        <f t="shared" si="12"/>
        <v>2.1303258145363406</v>
      </c>
      <c r="W53" s="82">
        <f t="shared" si="12"/>
        <v>80.075187969924812</v>
      </c>
      <c r="X53" s="27"/>
      <c r="Y53" s="82"/>
      <c r="Z53" s="25"/>
      <c r="AA53" s="82"/>
      <c r="AB53" s="90" t="s">
        <v>628</v>
      </c>
      <c r="AC53" s="90" t="s">
        <v>627</v>
      </c>
      <c r="AD53" s="5" t="s">
        <v>626</v>
      </c>
      <c r="AE53" s="24" t="s">
        <v>625</v>
      </c>
      <c r="AF53" s="28"/>
      <c r="AG53" s="29" t="s">
        <v>95</v>
      </c>
      <c r="AH53" s="4" t="str">
        <f t="shared" si="11"/>
        <v>,1187</v>
      </c>
      <c r="AI53" s="30" t="s">
        <v>99</v>
      </c>
      <c r="AJ53" s="5">
        <v>0.25800000000000001</v>
      </c>
      <c r="AK53" s="2" t="s">
        <v>453</v>
      </c>
      <c r="AL53" s="3" t="s">
        <v>703</v>
      </c>
      <c r="AM53" s="29" t="s">
        <v>96</v>
      </c>
      <c r="AN53" s="4" t="str">
        <f>AH53</f>
        <v>,1187</v>
      </c>
      <c r="AO53" s="30" t="s">
        <v>99</v>
      </c>
      <c r="AP53" s="5">
        <v>0.157</v>
      </c>
      <c r="AQ53" s="2" t="s">
        <v>453</v>
      </c>
      <c r="AR53" s="3" t="s">
        <v>703</v>
      </c>
      <c r="AS53" s="29"/>
      <c r="AT53" s="4"/>
      <c r="AU53" s="30"/>
      <c r="AV53" s="5"/>
      <c r="AW53" s="2"/>
      <c r="AY53" s="29"/>
      <c r="BA53" s="30"/>
      <c r="BB53" s="5"/>
      <c r="BC53" s="2"/>
      <c r="BE53" s="29"/>
      <c r="BG53" s="30"/>
      <c r="BH53" s="5"/>
      <c r="BJ53" s="46"/>
      <c r="BK53" s="5"/>
    </row>
    <row r="54" spans="2:63" x14ac:dyDescent="0.25">
      <c r="B54" s="105">
        <v>44706</v>
      </c>
      <c r="C54" s="35">
        <v>2</v>
      </c>
      <c r="D54" s="35">
        <v>50</v>
      </c>
      <c r="E54" s="35" t="s">
        <v>75</v>
      </c>
      <c r="F54" s="113" t="s">
        <v>413</v>
      </c>
      <c r="G54" s="36">
        <f t="shared" si="10"/>
        <v>3.46</v>
      </c>
      <c r="H54" s="54" t="s">
        <v>433</v>
      </c>
      <c r="I54" s="6">
        <v>1</v>
      </c>
      <c r="J54" s="6">
        <v>6</v>
      </c>
      <c r="K54" s="21">
        <v>28</v>
      </c>
      <c r="L54" s="22">
        <f t="shared" si="2"/>
        <v>35</v>
      </c>
      <c r="M54" s="117">
        <v>0</v>
      </c>
      <c r="N54" s="5">
        <v>0.38700000000000001</v>
      </c>
      <c r="O54" s="5">
        <v>6.7000000000000004E-2</v>
      </c>
      <c r="P54" s="5">
        <v>0.104</v>
      </c>
      <c r="Q54" s="90">
        <v>2.9020000000000001</v>
      </c>
      <c r="R54" s="24"/>
      <c r="S54" s="25">
        <f t="shared" si="12"/>
        <v>0</v>
      </c>
      <c r="T54" s="82">
        <f t="shared" si="12"/>
        <v>11.184971098265896</v>
      </c>
      <c r="U54" s="82">
        <f t="shared" si="12"/>
        <v>1.9364161849710984</v>
      </c>
      <c r="V54" s="82">
        <f t="shared" si="12"/>
        <v>3.0057803468208091</v>
      </c>
      <c r="W54" s="82">
        <f t="shared" si="12"/>
        <v>83.872832369942202</v>
      </c>
      <c r="X54" s="27"/>
      <c r="Y54" s="82"/>
      <c r="Z54" s="25"/>
      <c r="AA54" s="82"/>
      <c r="AB54" s="90" t="s">
        <v>632</v>
      </c>
      <c r="AC54" s="90" t="s">
        <v>631</v>
      </c>
      <c r="AD54" s="5" t="s">
        <v>630</v>
      </c>
      <c r="AE54" s="24" t="s">
        <v>629</v>
      </c>
      <c r="AF54" s="28"/>
      <c r="AG54" s="29" t="s">
        <v>95</v>
      </c>
      <c r="AH54" s="4" t="str">
        <f t="shared" si="11"/>
        <v>,1191</v>
      </c>
      <c r="AI54" s="30" t="s">
        <v>99</v>
      </c>
      <c r="AJ54" s="5">
        <v>0.38700000000000001</v>
      </c>
      <c r="AK54" s="2" t="s">
        <v>453</v>
      </c>
      <c r="AL54" s="3" t="s">
        <v>703</v>
      </c>
      <c r="AM54" s="29"/>
      <c r="AO54" s="30"/>
      <c r="AP54" s="5"/>
      <c r="AQ54" s="2"/>
      <c r="AS54" s="29"/>
      <c r="AU54" s="30"/>
      <c r="AV54" s="5"/>
      <c r="AW54" s="2"/>
      <c r="AY54" s="29"/>
      <c r="BA54" s="30"/>
      <c r="BB54" s="5"/>
      <c r="BC54" s="2"/>
      <c r="BE54" s="29"/>
      <c r="BG54" s="30"/>
      <c r="BH54" s="5"/>
      <c r="BJ54" s="46"/>
      <c r="BK54" s="5"/>
    </row>
    <row r="55" spans="2:63" x14ac:dyDescent="0.25">
      <c r="B55" s="105"/>
      <c r="C55" s="35">
        <v>2</v>
      </c>
      <c r="D55" s="35">
        <v>51</v>
      </c>
      <c r="E55" s="6" t="s">
        <v>76</v>
      </c>
      <c r="F55" s="113" t="s">
        <v>414</v>
      </c>
      <c r="G55" s="36">
        <f t="shared" si="10"/>
        <v>3.4359999999999999</v>
      </c>
      <c r="H55" s="54" t="s">
        <v>433</v>
      </c>
      <c r="I55" s="6" t="s">
        <v>433</v>
      </c>
      <c r="J55" s="6">
        <v>8</v>
      </c>
      <c r="K55" s="21">
        <v>24</v>
      </c>
      <c r="L55" s="22">
        <f t="shared" si="2"/>
        <v>32</v>
      </c>
      <c r="M55" s="117">
        <v>0</v>
      </c>
      <c r="N55" s="127">
        <v>0</v>
      </c>
      <c r="O55" s="5">
        <v>0.16300000000000001</v>
      </c>
      <c r="P55" s="5">
        <v>0.10299999999999999</v>
      </c>
      <c r="Q55" s="90">
        <v>3.17</v>
      </c>
      <c r="R55" s="24"/>
      <c r="S55" s="25">
        <f t="shared" si="12"/>
        <v>0</v>
      </c>
      <c r="T55" s="82">
        <f t="shared" si="12"/>
        <v>0</v>
      </c>
      <c r="U55" s="82">
        <f t="shared" si="12"/>
        <v>4.7438882421420265</v>
      </c>
      <c r="V55" s="82">
        <f t="shared" si="12"/>
        <v>2.9976717112922002</v>
      </c>
      <c r="W55" s="82">
        <f t="shared" si="12"/>
        <v>92.258440046565767</v>
      </c>
      <c r="X55" s="27"/>
      <c r="Y55" s="82"/>
      <c r="Z55" s="25"/>
      <c r="AA55" s="82"/>
      <c r="AB55" s="90"/>
      <c r="AC55" s="90" t="s">
        <v>635</v>
      </c>
      <c r="AD55" s="5" t="s">
        <v>634</v>
      </c>
      <c r="AE55" s="24" t="s">
        <v>633</v>
      </c>
      <c r="AF55" s="53"/>
      <c r="AG55" s="29"/>
      <c r="AH55" s="4"/>
      <c r="AI55" s="30"/>
      <c r="AJ55" s="5"/>
      <c r="AM55" s="29"/>
      <c r="AO55" s="30"/>
      <c r="AP55" s="5"/>
      <c r="AQ55" s="2"/>
      <c r="AR55" s="31"/>
      <c r="AS55" s="29"/>
      <c r="AU55" s="30"/>
      <c r="AV55" s="5"/>
      <c r="AW55" s="2"/>
      <c r="AX55" s="6"/>
      <c r="AY55" s="29"/>
      <c r="BA55" s="30"/>
      <c r="BB55" s="5"/>
      <c r="BC55" s="2"/>
      <c r="BD55" s="31"/>
      <c r="BE55" s="29"/>
      <c r="BG55" s="30"/>
      <c r="BH55" s="5"/>
      <c r="BJ55" s="37"/>
      <c r="BK55" s="5"/>
    </row>
    <row r="56" spans="2:63" x14ac:dyDescent="0.25">
      <c r="B56" s="105"/>
      <c r="C56" s="19">
        <v>2</v>
      </c>
      <c r="D56" s="35">
        <v>52</v>
      </c>
      <c r="E56" s="35" t="s">
        <v>77</v>
      </c>
      <c r="F56" s="113" t="s">
        <v>415</v>
      </c>
      <c r="G56" s="36">
        <f t="shared" si="10"/>
        <v>1.7610000000000001</v>
      </c>
      <c r="H56" s="54" t="s">
        <v>433</v>
      </c>
      <c r="I56" s="6" t="s">
        <v>433</v>
      </c>
      <c r="J56" s="6">
        <v>6</v>
      </c>
      <c r="K56" s="21">
        <v>13</v>
      </c>
      <c r="L56" s="22">
        <f t="shared" si="2"/>
        <v>19</v>
      </c>
      <c r="M56" s="117">
        <v>0</v>
      </c>
      <c r="N56" s="127">
        <v>0</v>
      </c>
      <c r="O56" s="5">
        <v>9.5000000000000001E-2</v>
      </c>
      <c r="P56" s="5">
        <v>3.5000000000000003E-2</v>
      </c>
      <c r="Q56" s="90">
        <f>17.834-16.203</f>
        <v>1.6310000000000002</v>
      </c>
      <c r="R56" s="24"/>
      <c r="S56" s="25">
        <f t="shared" si="12"/>
        <v>0</v>
      </c>
      <c r="T56" s="82">
        <f t="shared" si="12"/>
        <v>0</v>
      </c>
      <c r="U56" s="82">
        <f t="shared" si="12"/>
        <v>5.3946621237932995</v>
      </c>
      <c r="V56" s="82">
        <f t="shared" si="12"/>
        <v>1.9875070982396368</v>
      </c>
      <c r="W56" s="82">
        <f t="shared" si="12"/>
        <v>92.617830777967072</v>
      </c>
      <c r="X56" s="27"/>
      <c r="Y56" s="82"/>
      <c r="Z56" s="25"/>
      <c r="AA56" s="82"/>
      <c r="AB56" s="90"/>
      <c r="AC56" s="90" t="s">
        <v>638</v>
      </c>
      <c r="AD56" s="5" t="s">
        <v>637</v>
      </c>
      <c r="AE56" s="24" t="s">
        <v>636</v>
      </c>
      <c r="AF56" s="28"/>
      <c r="AG56" s="29"/>
      <c r="AH56" s="4"/>
      <c r="AI56" s="30"/>
      <c r="AJ56" s="5"/>
      <c r="AM56" s="29"/>
      <c r="AN56" s="4"/>
      <c r="AO56" s="30"/>
      <c r="AP56" s="5"/>
      <c r="AQ56" s="2"/>
      <c r="AS56" s="29"/>
      <c r="AU56" s="30"/>
      <c r="AV56" s="5"/>
      <c r="AW56" s="2"/>
      <c r="AY56" s="29"/>
      <c r="BA56" s="30"/>
      <c r="BB56" s="5"/>
      <c r="BC56" s="2"/>
      <c r="BE56" s="29"/>
      <c r="BG56" s="30"/>
      <c r="BH56" s="5"/>
      <c r="BJ56" s="46"/>
      <c r="BK56" s="5"/>
    </row>
    <row r="57" spans="2:63" x14ac:dyDescent="0.25">
      <c r="B57" s="105"/>
      <c r="C57" s="6">
        <v>2</v>
      </c>
      <c r="D57" s="6">
        <v>53</v>
      </c>
      <c r="E57" s="35" t="s">
        <v>78</v>
      </c>
      <c r="F57" s="115" t="s">
        <v>416</v>
      </c>
      <c r="G57" s="36">
        <f t="shared" si="10"/>
        <v>5.4590000000000032</v>
      </c>
      <c r="H57" s="54">
        <v>1</v>
      </c>
      <c r="I57" s="6" t="s">
        <v>433</v>
      </c>
      <c r="J57" s="6">
        <v>8</v>
      </c>
      <c r="K57" s="21">
        <v>30</v>
      </c>
      <c r="L57" s="22">
        <f t="shared" si="2"/>
        <v>39</v>
      </c>
      <c r="M57" s="23">
        <v>1.8120000000000001</v>
      </c>
      <c r="N57" s="127">
        <v>0</v>
      </c>
      <c r="O57" s="5">
        <v>0.23200000000000001</v>
      </c>
      <c r="P57" s="5">
        <v>0.14499999999999999</v>
      </c>
      <c r="Q57" s="90">
        <f>19.693-16.423</f>
        <v>3.2700000000000031</v>
      </c>
      <c r="R57" s="24"/>
      <c r="S57" s="25">
        <f t="shared" si="12"/>
        <v>33.192892471148546</v>
      </c>
      <c r="T57" s="82">
        <f t="shared" si="12"/>
        <v>0</v>
      </c>
      <c r="U57" s="82">
        <f t="shared" si="12"/>
        <v>4.2498626122000349</v>
      </c>
      <c r="V57" s="82">
        <f t="shared" si="12"/>
        <v>2.6561641326250212</v>
      </c>
      <c r="W57" s="82">
        <f t="shared" si="12"/>
        <v>59.901080784026405</v>
      </c>
      <c r="X57" s="27"/>
      <c r="Y57" s="82"/>
      <c r="Z57" s="25"/>
      <c r="AA57" s="82" t="s">
        <v>642</v>
      </c>
      <c r="AB57" s="90"/>
      <c r="AC57" s="90" t="s">
        <v>641</v>
      </c>
      <c r="AD57" s="5" t="s">
        <v>640</v>
      </c>
      <c r="AE57" s="24" t="s">
        <v>639</v>
      </c>
      <c r="AF57" s="53"/>
      <c r="AG57" s="29" t="s">
        <v>95</v>
      </c>
      <c r="AH57" s="4" t="str">
        <f>AA57</f>
        <v>,1201</v>
      </c>
      <c r="AI57" s="30" t="s">
        <v>112</v>
      </c>
      <c r="AJ57" s="5">
        <v>1.8120000000000001</v>
      </c>
      <c r="AK57" s="2" t="s">
        <v>453</v>
      </c>
      <c r="AL57" s="3" t="s">
        <v>703</v>
      </c>
      <c r="AM57" s="29"/>
      <c r="AN57" s="4"/>
      <c r="AO57" s="30"/>
      <c r="AP57" s="5"/>
      <c r="AQ57" s="2"/>
      <c r="AR57" s="31"/>
      <c r="AS57" s="29"/>
      <c r="AT57" s="4"/>
      <c r="AU57" s="30"/>
      <c r="AV57" s="5"/>
      <c r="AW57" s="2"/>
      <c r="AX57" s="6"/>
      <c r="AY57" s="29"/>
      <c r="BA57" s="30"/>
      <c r="BB57" s="5"/>
      <c r="BC57" s="2"/>
      <c r="BD57" s="31"/>
      <c r="BE57" s="29"/>
      <c r="BG57" s="30"/>
      <c r="BH57" s="5"/>
      <c r="BJ57" s="37"/>
      <c r="BK57" s="5"/>
    </row>
    <row r="58" spans="2:63" x14ac:dyDescent="0.25">
      <c r="B58" s="105">
        <v>44707</v>
      </c>
      <c r="C58" s="35">
        <v>2</v>
      </c>
      <c r="D58" s="35">
        <v>54</v>
      </c>
      <c r="E58" s="35" t="s">
        <v>79</v>
      </c>
      <c r="F58" s="113" t="s">
        <v>417</v>
      </c>
      <c r="G58" s="36">
        <f t="shared" si="10"/>
        <v>3.0580000000000003</v>
      </c>
      <c r="H58" s="54" t="s">
        <v>433</v>
      </c>
      <c r="I58" s="6">
        <v>3</v>
      </c>
      <c r="J58" s="6">
        <v>6</v>
      </c>
      <c r="K58" s="21">
        <v>29</v>
      </c>
      <c r="L58" s="22">
        <f t="shared" si="2"/>
        <v>38</v>
      </c>
      <c r="M58" s="117">
        <v>0</v>
      </c>
      <c r="N58" s="5">
        <f>0.063+0.077+0.072</f>
        <v>0.21200000000000002</v>
      </c>
      <c r="O58" s="5">
        <v>0.14299999999999999</v>
      </c>
      <c r="P58" s="5">
        <v>0.12</v>
      </c>
      <c r="Q58" s="90">
        <v>2.5830000000000002</v>
      </c>
      <c r="R58" s="24"/>
      <c r="S58" s="25">
        <f t="shared" si="12"/>
        <v>0</v>
      </c>
      <c r="T58" s="82">
        <f t="shared" si="12"/>
        <v>6.9326357096141269</v>
      </c>
      <c r="U58" s="82">
        <f t="shared" si="12"/>
        <v>4.6762589928057547</v>
      </c>
      <c r="V58" s="82">
        <f t="shared" si="12"/>
        <v>3.9241334205362981</v>
      </c>
      <c r="W58" s="82">
        <f t="shared" si="12"/>
        <v>84.466971877043818</v>
      </c>
      <c r="X58" s="27"/>
      <c r="Y58" s="82"/>
      <c r="Z58" s="25"/>
      <c r="AA58" s="82"/>
      <c r="AB58" s="90" t="s">
        <v>646</v>
      </c>
      <c r="AC58" s="90" t="s">
        <v>645</v>
      </c>
      <c r="AD58" s="5" t="s">
        <v>644</v>
      </c>
      <c r="AE58" s="24" t="s">
        <v>643</v>
      </c>
      <c r="AF58" s="53"/>
      <c r="AG58" s="29" t="s">
        <v>95</v>
      </c>
      <c r="AH58" s="2" t="str">
        <f>AB58</f>
        <v>,1205</v>
      </c>
      <c r="AI58" s="30" t="s">
        <v>99</v>
      </c>
      <c r="AJ58" s="5">
        <v>6.3E-2</v>
      </c>
      <c r="AK58" s="2" t="s">
        <v>453</v>
      </c>
      <c r="AL58" s="3" t="s">
        <v>703</v>
      </c>
      <c r="AM58" s="29" t="s">
        <v>96</v>
      </c>
      <c r="AN58" s="2" t="str">
        <f>AH58</f>
        <v>,1205</v>
      </c>
      <c r="AO58" s="30" t="s">
        <v>99</v>
      </c>
      <c r="AP58" s="5">
        <v>7.6999999999999999E-2</v>
      </c>
      <c r="AQ58" s="2" t="s">
        <v>453</v>
      </c>
      <c r="AR58" s="31" t="s">
        <v>703</v>
      </c>
      <c r="AS58" s="29" t="s">
        <v>114</v>
      </c>
      <c r="AT58" s="2" t="str">
        <f>AN58</f>
        <v>,1205</v>
      </c>
      <c r="AU58" s="30" t="s">
        <v>99</v>
      </c>
      <c r="AV58" s="5">
        <v>7.1999999999999995E-2</v>
      </c>
      <c r="AW58" s="2" t="s">
        <v>453</v>
      </c>
      <c r="AX58" s="6" t="s">
        <v>703</v>
      </c>
      <c r="AY58" s="29"/>
      <c r="BA58" s="30"/>
      <c r="BB58" s="5"/>
      <c r="BC58" s="2"/>
      <c r="BD58" s="31"/>
      <c r="BE58" s="29"/>
      <c r="BG58" s="30"/>
      <c r="BH58" s="5"/>
      <c r="BJ58" s="37"/>
      <c r="BK58" s="5"/>
    </row>
    <row r="59" spans="2:63" x14ac:dyDescent="0.25">
      <c r="B59" s="105"/>
      <c r="C59" s="6">
        <v>2</v>
      </c>
      <c r="D59" s="35">
        <v>55</v>
      </c>
      <c r="E59" s="35" t="s">
        <v>80</v>
      </c>
      <c r="F59" s="113" t="s">
        <v>418</v>
      </c>
      <c r="G59" s="36">
        <f>SUM(M59:R59)</f>
        <v>2.7640000000000002</v>
      </c>
      <c r="H59" s="54" t="s">
        <v>434</v>
      </c>
      <c r="I59" s="6" t="s">
        <v>434</v>
      </c>
      <c r="J59" s="6">
        <v>2</v>
      </c>
      <c r="K59" s="21">
        <v>26</v>
      </c>
      <c r="L59" s="22">
        <f t="shared" si="2"/>
        <v>28</v>
      </c>
      <c r="M59" s="117">
        <v>0</v>
      </c>
      <c r="N59" s="127">
        <v>0</v>
      </c>
      <c r="O59" s="5">
        <v>5.3999999999999999E-2</v>
      </c>
      <c r="P59" s="5">
        <v>0.123</v>
      </c>
      <c r="Q59" s="90">
        <v>2.5870000000000002</v>
      </c>
      <c r="R59" s="93"/>
      <c r="S59" s="25">
        <f t="shared" si="12"/>
        <v>0</v>
      </c>
      <c r="T59" s="82">
        <f t="shared" si="12"/>
        <v>0</v>
      </c>
      <c r="U59" s="82">
        <f t="shared" si="12"/>
        <v>1.9536903039073805</v>
      </c>
      <c r="V59" s="82">
        <f t="shared" si="12"/>
        <v>4.4500723589001447</v>
      </c>
      <c r="W59" s="82">
        <f t="shared" si="12"/>
        <v>93.596237337192477</v>
      </c>
      <c r="X59" s="27"/>
      <c r="Y59" s="82"/>
      <c r="Z59" s="25"/>
      <c r="AA59" s="82"/>
      <c r="AB59" s="90"/>
      <c r="AC59" s="90" t="s">
        <v>649</v>
      </c>
      <c r="AD59" s="5" t="s">
        <v>648</v>
      </c>
      <c r="AE59" s="24" t="s">
        <v>647</v>
      </c>
      <c r="AF59" s="53"/>
      <c r="AG59" s="116"/>
      <c r="AI59" s="72"/>
      <c r="AJ59" s="5"/>
      <c r="AM59" s="29"/>
      <c r="AO59" s="30"/>
      <c r="AP59" s="5"/>
      <c r="AQ59" s="2"/>
      <c r="AR59" s="31"/>
      <c r="AS59" s="29"/>
      <c r="AU59" s="30"/>
      <c r="AV59" s="5"/>
      <c r="AW59" s="2"/>
      <c r="AX59" s="6"/>
      <c r="AY59" s="29"/>
      <c r="BA59" s="30"/>
      <c r="BB59" s="5"/>
      <c r="BC59" s="2"/>
      <c r="BD59" s="31"/>
      <c r="BE59" s="29"/>
      <c r="BG59" s="30"/>
      <c r="BH59" s="5"/>
      <c r="BJ59" s="37"/>
      <c r="BK59" s="5"/>
    </row>
    <row r="60" spans="2:63" x14ac:dyDescent="0.25">
      <c r="B60" s="105"/>
      <c r="C60" s="35">
        <v>2</v>
      </c>
      <c r="D60" s="35">
        <v>56</v>
      </c>
      <c r="E60" s="35" t="s">
        <v>81</v>
      </c>
      <c r="F60" s="113" t="s">
        <v>419</v>
      </c>
      <c r="G60" s="36">
        <f t="shared" ref="G60:G70" si="13">SUM(M60:Q60)</f>
        <v>2.88</v>
      </c>
      <c r="H60" s="54" t="s">
        <v>434</v>
      </c>
      <c r="I60" s="6" t="s">
        <v>434</v>
      </c>
      <c r="J60" s="6">
        <v>8</v>
      </c>
      <c r="K60" s="21">
        <v>31</v>
      </c>
      <c r="L60" s="22">
        <f t="shared" si="2"/>
        <v>39</v>
      </c>
      <c r="M60" s="117">
        <v>0</v>
      </c>
      <c r="N60" s="127">
        <v>0</v>
      </c>
      <c r="O60" s="5">
        <v>0.19</v>
      </c>
      <c r="P60" s="5">
        <v>0.13200000000000001</v>
      </c>
      <c r="Q60" s="90">
        <v>2.5579999999999998</v>
      </c>
      <c r="R60" s="93"/>
      <c r="S60" s="25">
        <f t="shared" si="12"/>
        <v>0</v>
      </c>
      <c r="T60" s="82">
        <f t="shared" si="12"/>
        <v>0</v>
      </c>
      <c r="U60" s="82">
        <f t="shared" si="12"/>
        <v>6.5972222222222223</v>
      </c>
      <c r="V60" s="82">
        <f t="shared" si="12"/>
        <v>4.5833333333333339</v>
      </c>
      <c r="W60" s="82">
        <f t="shared" si="12"/>
        <v>88.819444444444443</v>
      </c>
      <c r="X60" s="27"/>
      <c r="Y60" s="82"/>
      <c r="Z60" s="25"/>
      <c r="AA60" s="82"/>
      <c r="AB60" s="90"/>
      <c r="AC60" s="90" t="s">
        <v>652</v>
      </c>
      <c r="AD60" s="5" t="s">
        <v>651</v>
      </c>
      <c r="AE60" s="24" t="s">
        <v>650</v>
      </c>
      <c r="AF60" s="53"/>
      <c r="AG60" s="29"/>
      <c r="AH60" s="4"/>
      <c r="AI60" s="30"/>
      <c r="AJ60" s="5"/>
      <c r="AM60" s="94"/>
      <c r="AN60" s="4"/>
      <c r="AO60" s="30"/>
      <c r="AP60" s="5"/>
      <c r="AQ60" s="2"/>
      <c r="AR60" s="31"/>
      <c r="AS60" s="29"/>
      <c r="AU60" s="30"/>
      <c r="AV60" s="5"/>
      <c r="AW60" s="2"/>
      <c r="AX60" s="6"/>
      <c r="AY60" s="29"/>
      <c r="BA60" s="30"/>
      <c r="BB60" s="5"/>
      <c r="BC60" s="2"/>
      <c r="BD60" s="31"/>
      <c r="BE60" s="29"/>
      <c r="BG60" s="30"/>
      <c r="BH60" s="5"/>
      <c r="BJ60" s="37"/>
      <c r="BK60" s="5"/>
    </row>
    <row r="61" spans="2:63" x14ac:dyDescent="0.25">
      <c r="B61" s="109"/>
      <c r="C61" s="35">
        <v>2</v>
      </c>
      <c r="D61" s="35">
        <v>57</v>
      </c>
      <c r="E61" s="35" t="s">
        <v>82</v>
      </c>
      <c r="F61" s="113" t="s">
        <v>420</v>
      </c>
      <c r="G61" s="36">
        <f t="shared" si="13"/>
        <v>3.2889999999999997</v>
      </c>
      <c r="H61" s="54" t="s">
        <v>434</v>
      </c>
      <c r="I61" s="6">
        <v>2</v>
      </c>
      <c r="J61" s="6">
        <v>7</v>
      </c>
      <c r="K61" s="21">
        <v>26</v>
      </c>
      <c r="L61" s="22">
        <f t="shared" si="2"/>
        <v>35</v>
      </c>
      <c r="M61" s="117">
        <v>0</v>
      </c>
      <c r="N61" s="5">
        <v>0.872</v>
      </c>
      <c r="O61" s="5">
        <v>0.114</v>
      </c>
      <c r="P61" s="5">
        <v>0.112</v>
      </c>
      <c r="Q61" s="90">
        <v>2.1909999999999998</v>
      </c>
      <c r="R61" s="24"/>
      <c r="S61" s="25">
        <f t="shared" si="12"/>
        <v>0</v>
      </c>
      <c r="T61" s="82">
        <f t="shared" si="12"/>
        <v>26.512617816965644</v>
      </c>
      <c r="U61" s="82">
        <f t="shared" si="12"/>
        <v>3.4660991182730321</v>
      </c>
      <c r="V61" s="82">
        <f t="shared" si="12"/>
        <v>3.4052903618121015</v>
      </c>
      <c r="W61" s="82">
        <f t="shared" si="12"/>
        <v>66.615992702949228</v>
      </c>
      <c r="X61" s="27"/>
      <c r="Y61" s="82"/>
      <c r="Z61" s="25"/>
      <c r="AA61" s="82"/>
      <c r="AB61" s="90" t="s">
        <v>656</v>
      </c>
      <c r="AC61" s="90" t="s">
        <v>655</v>
      </c>
      <c r="AD61" s="5" t="s">
        <v>654</v>
      </c>
      <c r="AE61" s="24" t="s">
        <v>653</v>
      </c>
      <c r="AF61" s="53"/>
      <c r="AG61" s="29" t="s">
        <v>95</v>
      </c>
      <c r="AH61" s="2" t="str">
        <f>AB61</f>
        <v>,1215</v>
      </c>
      <c r="AI61" s="30" t="s">
        <v>99</v>
      </c>
      <c r="AJ61" s="5">
        <v>0.23</v>
      </c>
      <c r="AK61" s="2" t="s">
        <v>453</v>
      </c>
      <c r="AL61" s="3" t="s">
        <v>703</v>
      </c>
      <c r="AM61" s="29" t="s">
        <v>96</v>
      </c>
      <c r="AN61" s="2" t="str">
        <f>AH61</f>
        <v>,1215</v>
      </c>
      <c r="AO61" s="30" t="s">
        <v>99</v>
      </c>
      <c r="AP61" s="5">
        <v>0.64200000000000002</v>
      </c>
      <c r="AQ61" s="2" t="s">
        <v>453</v>
      </c>
      <c r="AR61" s="31" t="s">
        <v>703</v>
      </c>
      <c r="AS61" s="29"/>
      <c r="AU61" s="30"/>
      <c r="AV61" s="5"/>
      <c r="AW61" s="2"/>
      <c r="AX61" s="6"/>
      <c r="AY61" s="29"/>
      <c r="BA61" s="30"/>
      <c r="BB61" s="5"/>
      <c r="BC61" s="2"/>
      <c r="BD61" s="31"/>
      <c r="BE61" s="29"/>
      <c r="BG61" s="30"/>
      <c r="BH61" s="5"/>
      <c r="BJ61" s="37"/>
      <c r="BK61" s="5"/>
    </row>
    <row r="62" spans="2:63" x14ac:dyDescent="0.25">
      <c r="B62" s="105"/>
      <c r="C62" s="19">
        <v>2</v>
      </c>
      <c r="D62" s="35">
        <v>58</v>
      </c>
      <c r="E62" s="35" t="s">
        <v>83</v>
      </c>
      <c r="F62" s="113" t="s">
        <v>421</v>
      </c>
      <c r="G62" s="36">
        <f t="shared" si="13"/>
        <v>2.9140000000000001</v>
      </c>
      <c r="H62" s="54" t="s">
        <v>433</v>
      </c>
      <c r="I62" s="6">
        <v>2</v>
      </c>
      <c r="J62" s="6">
        <v>12</v>
      </c>
      <c r="K62" s="21">
        <v>33</v>
      </c>
      <c r="L62" s="22">
        <f t="shared" si="2"/>
        <v>47</v>
      </c>
      <c r="M62" s="117">
        <v>0</v>
      </c>
      <c r="N62" s="5">
        <v>0.14099999999999999</v>
      </c>
      <c r="O62" s="5">
        <v>0.17899999999999999</v>
      </c>
      <c r="P62" s="5">
        <v>0.108</v>
      </c>
      <c r="Q62" s="90">
        <v>2.4860000000000002</v>
      </c>
      <c r="R62" s="24"/>
      <c r="S62" s="25">
        <f t="shared" si="12"/>
        <v>0</v>
      </c>
      <c r="T62" s="82">
        <f t="shared" si="12"/>
        <v>4.8387096774193541</v>
      </c>
      <c r="U62" s="82">
        <f t="shared" si="12"/>
        <v>6.1427590940288264</v>
      </c>
      <c r="V62" s="82">
        <f t="shared" si="12"/>
        <v>3.7062457103637612</v>
      </c>
      <c r="W62" s="82">
        <f t="shared" si="12"/>
        <v>85.312285518188062</v>
      </c>
      <c r="X62" s="27"/>
      <c r="Y62" s="82"/>
      <c r="Z62" s="25"/>
      <c r="AA62" s="82"/>
      <c r="AB62" s="90" t="s">
        <v>660</v>
      </c>
      <c r="AC62" s="90" t="s">
        <v>659</v>
      </c>
      <c r="AD62" s="5" t="s">
        <v>658</v>
      </c>
      <c r="AE62" s="24" t="s">
        <v>657</v>
      </c>
      <c r="AF62" s="28"/>
      <c r="AG62" s="29" t="s">
        <v>95</v>
      </c>
      <c r="AH62" s="2" t="str">
        <f>AB62</f>
        <v>,1219</v>
      </c>
      <c r="AI62" s="30" t="s">
        <v>99</v>
      </c>
      <c r="AJ62" s="5">
        <v>8.7999999999999995E-2</v>
      </c>
      <c r="AK62" s="2" t="s">
        <v>453</v>
      </c>
      <c r="AL62" s="3" t="s">
        <v>703</v>
      </c>
      <c r="AM62" s="29" t="s">
        <v>96</v>
      </c>
      <c r="AN62" s="2" t="str">
        <f>AH62</f>
        <v>,1219</v>
      </c>
      <c r="AO62" s="30" t="s">
        <v>99</v>
      </c>
      <c r="AP62" s="5">
        <v>5.2999999999999999E-2</v>
      </c>
      <c r="AQ62" s="2" t="s">
        <v>453</v>
      </c>
      <c r="AR62" s="3" t="s">
        <v>703</v>
      </c>
      <c r="AS62" s="29"/>
      <c r="AU62" s="30"/>
      <c r="AV62" s="5"/>
      <c r="AW62" s="2"/>
      <c r="AY62" s="29"/>
      <c r="BA62" s="30"/>
      <c r="BB62" s="5"/>
      <c r="BC62" s="2"/>
      <c r="BE62" s="29"/>
      <c r="BG62" s="30"/>
      <c r="BH62" s="5"/>
      <c r="BJ62" s="46"/>
      <c r="BK62" s="5"/>
    </row>
    <row r="63" spans="2:63" x14ac:dyDescent="0.25">
      <c r="B63" s="105">
        <v>44708</v>
      </c>
      <c r="C63" s="6">
        <v>2</v>
      </c>
      <c r="D63" s="35">
        <v>59</v>
      </c>
      <c r="E63" s="35" t="s">
        <v>84</v>
      </c>
      <c r="F63" s="113" t="s">
        <v>422</v>
      </c>
      <c r="G63" s="36">
        <f t="shared" si="13"/>
        <v>3.3549999999999995</v>
      </c>
      <c r="H63" s="54" t="s">
        <v>433</v>
      </c>
      <c r="I63" s="6">
        <v>2</v>
      </c>
      <c r="J63" s="6">
        <v>4</v>
      </c>
      <c r="K63" s="21">
        <v>37</v>
      </c>
      <c r="L63" s="22">
        <f t="shared" si="2"/>
        <v>43</v>
      </c>
      <c r="M63" s="117">
        <v>0</v>
      </c>
      <c r="N63" s="5">
        <f>0.255+0.075</f>
        <v>0.33</v>
      </c>
      <c r="O63" s="5">
        <v>0.14399999999999999</v>
      </c>
      <c r="P63" s="5">
        <v>0.20200000000000001</v>
      </c>
      <c r="Q63" s="90">
        <v>2.6789999999999998</v>
      </c>
      <c r="R63" s="24"/>
      <c r="S63" s="25">
        <f t="shared" si="12"/>
        <v>0</v>
      </c>
      <c r="T63" s="82">
        <f t="shared" si="12"/>
        <v>9.8360655737704938</v>
      </c>
      <c r="U63" s="82">
        <f t="shared" si="12"/>
        <v>4.2921013412816693</v>
      </c>
      <c r="V63" s="82">
        <f t="shared" si="12"/>
        <v>6.0208643815201208</v>
      </c>
      <c r="W63" s="82">
        <f t="shared" si="12"/>
        <v>79.850968703427725</v>
      </c>
      <c r="X63" s="27"/>
      <c r="Y63" s="82"/>
      <c r="Z63" s="25"/>
      <c r="AA63" s="82"/>
      <c r="AB63" s="90" t="s">
        <v>664</v>
      </c>
      <c r="AC63" s="90" t="s">
        <v>663</v>
      </c>
      <c r="AD63" s="5" t="s">
        <v>662</v>
      </c>
      <c r="AE63" s="24" t="s">
        <v>661</v>
      </c>
      <c r="AF63" s="28"/>
      <c r="AG63" s="29" t="s">
        <v>95</v>
      </c>
      <c r="AH63" s="4" t="str">
        <f>AB63</f>
        <v>,1223</v>
      </c>
      <c r="AI63" s="30" t="s">
        <v>99</v>
      </c>
      <c r="AJ63" s="5">
        <v>0.255</v>
      </c>
      <c r="AK63" s="2" t="s">
        <v>453</v>
      </c>
      <c r="AL63" s="3" t="s">
        <v>703</v>
      </c>
      <c r="AM63" s="29" t="s">
        <v>96</v>
      </c>
      <c r="AN63" s="4" t="str">
        <f>AH63</f>
        <v>,1223</v>
      </c>
      <c r="AO63" s="30" t="s">
        <v>99</v>
      </c>
      <c r="AP63" s="5">
        <v>7.4999999999999997E-2</v>
      </c>
      <c r="AQ63" s="2" t="s">
        <v>453</v>
      </c>
      <c r="AR63" s="3" t="s">
        <v>703</v>
      </c>
      <c r="AS63" s="29"/>
      <c r="AU63" s="30"/>
      <c r="AV63" s="5"/>
      <c r="AW63" s="2"/>
      <c r="AY63" s="29"/>
      <c r="BA63" s="30"/>
      <c r="BB63" s="5"/>
      <c r="BC63" s="2"/>
      <c r="BE63" s="29"/>
      <c r="BG63" s="30"/>
      <c r="BH63" s="5"/>
      <c r="BJ63" s="46"/>
      <c r="BK63" s="5"/>
    </row>
    <row r="64" spans="2:63" x14ac:dyDescent="0.25">
      <c r="B64" s="105"/>
      <c r="C64" s="35">
        <v>2</v>
      </c>
      <c r="D64" s="35">
        <v>60</v>
      </c>
      <c r="E64" s="35" t="s">
        <v>85</v>
      </c>
      <c r="F64" s="115" t="s">
        <v>423</v>
      </c>
      <c r="G64" s="36">
        <f t="shared" si="13"/>
        <v>3.0659999999999998</v>
      </c>
      <c r="H64" s="54" t="s">
        <v>433</v>
      </c>
      <c r="I64" s="6" t="s">
        <v>434</v>
      </c>
      <c r="J64" s="6">
        <v>5</v>
      </c>
      <c r="K64" s="21">
        <v>39</v>
      </c>
      <c r="L64" s="22">
        <f t="shared" si="2"/>
        <v>44</v>
      </c>
      <c r="M64" s="117">
        <v>0</v>
      </c>
      <c r="N64" s="127">
        <v>0</v>
      </c>
      <c r="O64" s="5">
        <v>0.123</v>
      </c>
      <c r="P64" s="5">
        <v>0.17899999999999999</v>
      </c>
      <c r="Q64" s="90">
        <v>2.7639999999999998</v>
      </c>
      <c r="R64" s="24"/>
      <c r="S64" s="25">
        <f t="shared" si="12"/>
        <v>0</v>
      </c>
      <c r="T64" s="82">
        <f t="shared" si="12"/>
        <v>0</v>
      </c>
      <c r="U64" s="82">
        <f t="shared" si="12"/>
        <v>4.0117416829745602</v>
      </c>
      <c r="V64" s="82">
        <f t="shared" si="12"/>
        <v>5.8382257012394003</v>
      </c>
      <c r="W64" s="82">
        <f t="shared" si="12"/>
        <v>90.150032615786031</v>
      </c>
      <c r="X64" s="27"/>
      <c r="Y64" s="82"/>
      <c r="Z64" s="25"/>
      <c r="AA64" s="82"/>
      <c r="AB64" s="90"/>
      <c r="AC64" s="90" t="s">
        <v>667</v>
      </c>
      <c r="AD64" s="5" t="s">
        <v>666</v>
      </c>
      <c r="AE64" s="24" t="s">
        <v>665</v>
      </c>
      <c r="AF64" s="53"/>
      <c r="AG64" s="29"/>
      <c r="AH64" s="4"/>
      <c r="AI64" s="30"/>
      <c r="AJ64" s="5"/>
      <c r="AM64" s="29"/>
      <c r="AN64" s="4"/>
      <c r="AO64" s="30"/>
      <c r="AP64" s="5"/>
      <c r="AQ64" s="2"/>
      <c r="AR64" s="31"/>
      <c r="AS64" s="29"/>
      <c r="AU64" s="30"/>
      <c r="AV64" s="5"/>
      <c r="AW64" s="2"/>
      <c r="AX64" s="6"/>
      <c r="AY64" s="29"/>
      <c r="BA64" s="30"/>
      <c r="BB64" s="5"/>
      <c r="BC64" s="2"/>
      <c r="BD64" s="31"/>
      <c r="BE64" s="29"/>
      <c r="BG64" s="30"/>
      <c r="BH64" s="5"/>
      <c r="BJ64" s="37"/>
      <c r="BK64" s="5"/>
    </row>
    <row r="65" spans="2:63" x14ac:dyDescent="0.25">
      <c r="B65" s="105"/>
      <c r="C65" s="6">
        <v>2</v>
      </c>
      <c r="D65" s="35">
        <v>61</v>
      </c>
      <c r="E65" s="35" t="s">
        <v>86</v>
      </c>
      <c r="F65" s="113" t="s">
        <v>424</v>
      </c>
      <c r="G65" s="36">
        <f t="shared" si="13"/>
        <v>3.339</v>
      </c>
      <c r="H65" s="54" t="s">
        <v>433</v>
      </c>
      <c r="I65" s="6">
        <v>4</v>
      </c>
      <c r="J65" s="6">
        <v>6</v>
      </c>
      <c r="K65" s="21">
        <v>34</v>
      </c>
      <c r="L65" s="22">
        <f t="shared" si="2"/>
        <v>44</v>
      </c>
      <c r="M65" s="117">
        <v>0</v>
      </c>
      <c r="N65" s="5">
        <v>0.52900000000000003</v>
      </c>
      <c r="O65" s="5">
        <v>0.14799999999999999</v>
      </c>
      <c r="P65" s="5">
        <v>0.129</v>
      </c>
      <c r="Q65" s="90">
        <v>2.5329999999999999</v>
      </c>
      <c r="R65" s="24"/>
      <c r="S65" s="25">
        <f t="shared" si="12"/>
        <v>0</v>
      </c>
      <c r="T65" s="82">
        <f t="shared" si="12"/>
        <v>15.843066786463014</v>
      </c>
      <c r="U65" s="82">
        <f t="shared" si="12"/>
        <v>4.4324648098232995</v>
      </c>
      <c r="V65" s="82">
        <f t="shared" si="12"/>
        <v>3.8634321653189576</v>
      </c>
      <c r="W65" s="82">
        <f t="shared" si="12"/>
        <v>75.861036238394732</v>
      </c>
      <c r="X65" s="27"/>
      <c r="Y65" s="82"/>
      <c r="Z65" s="25"/>
      <c r="AA65" s="82"/>
      <c r="AB65" s="90" t="s">
        <v>671</v>
      </c>
      <c r="AC65" s="90" t="s">
        <v>670</v>
      </c>
      <c r="AD65" s="5" t="s">
        <v>669</v>
      </c>
      <c r="AE65" s="24" t="s">
        <v>668</v>
      </c>
      <c r="AF65" s="28"/>
      <c r="AG65" s="29" t="s">
        <v>95</v>
      </c>
      <c r="AH65" s="4" t="str">
        <f t="shared" ref="AH65:AH70" si="14">AB65</f>
        <v>,1230</v>
      </c>
      <c r="AI65" s="30" t="s">
        <v>99</v>
      </c>
      <c r="AJ65" s="5">
        <v>0.33200000000000002</v>
      </c>
      <c r="AK65" s="2" t="s">
        <v>502</v>
      </c>
      <c r="AL65" s="3" t="s">
        <v>703</v>
      </c>
      <c r="AM65" s="29" t="s">
        <v>96</v>
      </c>
      <c r="AN65" s="4" t="str">
        <f t="shared" ref="AN65" si="15">AH65</f>
        <v>,1230</v>
      </c>
      <c r="AO65" s="30" t="s">
        <v>99</v>
      </c>
      <c r="AP65" s="5">
        <v>0.08</v>
      </c>
      <c r="AQ65" s="2" t="s">
        <v>453</v>
      </c>
      <c r="AR65" s="3" t="s">
        <v>703</v>
      </c>
      <c r="AS65" s="29" t="s">
        <v>114</v>
      </c>
      <c r="AT65" s="4" t="str">
        <f>AN65</f>
        <v>,1230</v>
      </c>
      <c r="AU65" s="30" t="s">
        <v>99</v>
      </c>
      <c r="AV65" s="5">
        <v>6.7000000000000004E-2</v>
      </c>
      <c r="AW65" s="2" t="s">
        <v>453</v>
      </c>
      <c r="AX65" s="5" t="s">
        <v>703</v>
      </c>
      <c r="AY65" s="29" t="s">
        <v>123</v>
      </c>
      <c r="AZ65" s="4" t="str">
        <f>AT65</f>
        <v>,1230</v>
      </c>
      <c r="BA65" s="30" t="s">
        <v>99</v>
      </c>
      <c r="BB65" s="5">
        <v>0.06</v>
      </c>
      <c r="BC65" s="2" t="s">
        <v>453</v>
      </c>
      <c r="BD65" s="3" t="s">
        <v>703</v>
      </c>
      <c r="BE65" s="29"/>
      <c r="BG65" s="30"/>
      <c r="BH65" s="5"/>
      <c r="BJ65" s="46"/>
      <c r="BK65" s="5"/>
    </row>
    <row r="66" spans="2:63" x14ac:dyDescent="0.25">
      <c r="B66" s="105"/>
      <c r="C66" s="35">
        <v>2</v>
      </c>
      <c r="D66" s="35">
        <v>62</v>
      </c>
      <c r="E66" s="35" t="s">
        <v>87</v>
      </c>
      <c r="F66" s="113" t="s">
        <v>425</v>
      </c>
      <c r="G66" s="36">
        <f t="shared" si="13"/>
        <v>3.1419999999999999</v>
      </c>
      <c r="H66" s="54" t="s">
        <v>433</v>
      </c>
      <c r="I66" s="6">
        <v>2</v>
      </c>
      <c r="J66" s="6">
        <v>7</v>
      </c>
      <c r="K66" s="21">
        <v>34</v>
      </c>
      <c r="L66" s="22">
        <f t="shared" si="2"/>
        <v>43</v>
      </c>
      <c r="M66" s="117">
        <v>0</v>
      </c>
      <c r="N66" s="5">
        <v>0.187</v>
      </c>
      <c r="O66" s="5">
        <v>0.10299999999999999</v>
      </c>
      <c r="P66" s="5">
        <v>0.14299999999999999</v>
      </c>
      <c r="Q66" s="90">
        <v>2.7090000000000001</v>
      </c>
      <c r="R66" s="24"/>
      <c r="S66" s="25">
        <f t="shared" si="12"/>
        <v>0</v>
      </c>
      <c r="T66" s="82">
        <f t="shared" si="12"/>
        <v>5.9516231699554423</v>
      </c>
      <c r="U66" s="82">
        <f t="shared" si="12"/>
        <v>3.2781667727562058</v>
      </c>
      <c r="V66" s="82">
        <f t="shared" si="12"/>
        <v>4.5512412476129853</v>
      </c>
      <c r="W66" s="82">
        <f t="shared" si="12"/>
        <v>86.218968809675374</v>
      </c>
      <c r="X66" s="27"/>
      <c r="Y66" s="82"/>
      <c r="Z66" s="25"/>
      <c r="AA66" s="82"/>
      <c r="AB66" s="90" t="s">
        <v>675</v>
      </c>
      <c r="AC66" s="90" t="s">
        <v>674</v>
      </c>
      <c r="AD66" s="5" t="s">
        <v>673</v>
      </c>
      <c r="AE66" s="24" t="s">
        <v>672</v>
      </c>
      <c r="AF66" s="28"/>
      <c r="AG66" s="29" t="s">
        <v>95</v>
      </c>
      <c r="AH66" s="4" t="str">
        <f t="shared" si="14"/>
        <v>,1234</v>
      </c>
      <c r="AI66" s="30" t="s">
        <v>99</v>
      </c>
      <c r="AJ66" s="5">
        <v>6.4000000000000001E-2</v>
      </c>
      <c r="AK66" s="2" t="s">
        <v>453</v>
      </c>
      <c r="AL66" s="3" t="s">
        <v>703</v>
      </c>
      <c r="AM66" s="29" t="s">
        <v>96</v>
      </c>
      <c r="AN66" s="4" t="str">
        <f>AH66</f>
        <v>,1234</v>
      </c>
      <c r="AO66" s="30" t="s">
        <v>99</v>
      </c>
      <c r="AP66" s="5">
        <v>0.123</v>
      </c>
      <c r="AQ66" s="2" t="s">
        <v>453</v>
      </c>
      <c r="AR66" s="3" t="s">
        <v>703</v>
      </c>
      <c r="AS66" s="29"/>
      <c r="AU66" s="30"/>
      <c r="AV66" s="5"/>
      <c r="AW66" s="2"/>
      <c r="AY66" s="29"/>
      <c r="BA66" s="30"/>
      <c r="BB66" s="5"/>
      <c r="BC66" s="2"/>
      <c r="BE66" s="29"/>
      <c r="BG66" s="30"/>
      <c r="BH66" s="5"/>
      <c r="BJ66" s="46"/>
      <c r="BK66" s="5"/>
    </row>
    <row r="67" spans="2:63" s="166" customFormat="1" x14ac:dyDescent="0.25">
      <c r="B67" s="144">
        <v>44712</v>
      </c>
      <c r="C67" s="145">
        <v>2</v>
      </c>
      <c r="D67" s="145">
        <v>63</v>
      </c>
      <c r="E67" s="145" t="s">
        <v>88</v>
      </c>
      <c r="F67" s="146" t="s">
        <v>426</v>
      </c>
      <c r="G67" s="147">
        <f t="shared" si="13"/>
        <v>4.4240000000000004</v>
      </c>
      <c r="H67" s="148" t="s">
        <v>433</v>
      </c>
      <c r="I67" s="149">
        <v>3</v>
      </c>
      <c r="J67" s="149">
        <v>5</v>
      </c>
      <c r="K67" s="150">
        <v>47</v>
      </c>
      <c r="L67" s="151">
        <f t="shared" si="2"/>
        <v>55</v>
      </c>
      <c r="M67" s="152">
        <v>0</v>
      </c>
      <c r="N67" s="153">
        <f>0.318+0.3+0.11</f>
        <v>0.72799999999999998</v>
      </c>
      <c r="O67" s="153">
        <v>0.14399999999999999</v>
      </c>
      <c r="P67" s="153">
        <v>0.214</v>
      </c>
      <c r="Q67" s="154">
        <v>3.3380000000000001</v>
      </c>
      <c r="R67" s="155"/>
      <c r="S67" s="156">
        <f t="shared" si="12"/>
        <v>0</v>
      </c>
      <c r="T67" s="157">
        <f t="shared" si="12"/>
        <v>16.455696202531644</v>
      </c>
      <c r="U67" s="157">
        <f t="shared" si="12"/>
        <v>3.2549728752260392</v>
      </c>
      <c r="V67" s="157">
        <f t="shared" si="12"/>
        <v>4.8372513562386974</v>
      </c>
      <c r="W67" s="157">
        <f t="shared" si="12"/>
        <v>75.452079566003619</v>
      </c>
      <c r="X67" s="158"/>
      <c r="Y67" s="157"/>
      <c r="Z67" s="156"/>
      <c r="AA67" s="157"/>
      <c r="AB67" s="154" t="s">
        <v>679</v>
      </c>
      <c r="AC67" s="154" t="s">
        <v>678</v>
      </c>
      <c r="AD67" s="153" t="s">
        <v>677</v>
      </c>
      <c r="AE67" s="155" t="s">
        <v>676</v>
      </c>
      <c r="AF67" s="159"/>
      <c r="AG67" s="160" t="s">
        <v>95</v>
      </c>
      <c r="AH67" s="161" t="str">
        <f t="shared" si="14"/>
        <v>,1238</v>
      </c>
      <c r="AI67" s="162" t="s">
        <v>99</v>
      </c>
      <c r="AJ67" s="153">
        <v>0.318</v>
      </c>
      <c r="AK67" s="163" t="s">
        <v>453</v>
      </c>
      <c r="AL67" s="164" t="s">
        <v>703</v>
      </c>
      <c r="AM67" s="160" t="s">
        <v>96</v>
      </c>
      <c r="AN67" s="161" t="str">
        <f>AH67</f>
        <v>,1238</v>
      </c>
      <c r="AO67" s="162" t="s">
        <v>99</v>
      </c>
      <c r="AP67" s="153">
        <v>0.3</v>
      </c>
      <c r="AQ67" s="163" t="s">
        <v>453</v>
      </c>
      <c r="AR67" s="164" t="s">
        <v>703</v>
      </c>
      <c r="AS67" s="160" t="s">
        <v>114</v>
      </c>
      <c r="AT67" s="161" t="str">
        <f>AN67</f>
        <v>,1238</v>
      </c>
      <c r="AU67" s="162" t="s">
        <v>99</v>
      </c>
      <c r="AV67" s="153">
        <v>0.11</v>
      </c>
      <c r="AW67" s="163" t="s">
        <v>453</v>
      </c>
      <c r="AX67" s="153" t="s">
        <v>703</v>
      </c>
      <c r="AY67" s="160"/>
      <c r="AZ67" s="163"/>
      <c r="BA67" s="162"/>
      <c r="BB67" s="153"/>
      <c r="BC67" s="163"/>
      <c r="BD67" s="164"/>
      <c r="BE67" s="160"/>
      <c r="BF67" s="163"/>
      <c r="BG67" s="162"/>
      <c r="BH67" s="153"/>
      <c r="BI67" s="163"/>
      <c r="BJ67" s="165"/>
      <c r="BK67" s="153"/>
    </row>
    <row r="68" spans="2:63" s="166" customFormat="1" x14ac:dyDescent="0.25">
      <c r="B68" s="144"/>
      <c r="C68" s="145">
        <v>2</v>
      </c>
      <c r="D68" s="145">
        <v>64</v>
      </c>
      <c r="E68" s="145" t="s">
        <v>89</v>
      </c>
      <c r="F68" s="146" t="s">
        <v>427</v>
      </c>
      <c r="G68" s="147">
        <f t="shared" si="13"/>
        <v>3.2809999999999997</v>
      </c>
      <c r="H68" s="148" t="s">
        <v>433</v>
      </c>
      <c r="I68" s="149">
        <v>3</v>
      </c>
      <c r="J68" s="149">
        <v>7</v>
      </c>
      <c r="K68" s="150">
        <v>35</v>
      </c>
      <c r="L68" s="151">
        <f t="shared" si="2"/>
        <v>45</v>
      </c>
      <c r="M68" s="152">
        <v>0</v>
      </c>
      <c r="N68" s="153">
        <f>0.343+0.038+0.07</f>
        <v>0.45100000000000001</v>
      </c>
      <c r="O68" s="153">
        <v>0.112</v>
      </c>
      <c r="P68" s="153">
        <v>0.16400000000000001</v>
      </c>
      <c r="Q68" s="154">
        <v>2.5539999999999998</v>
      </c>
      <c r="R68" s="155"/>
      <c r="S68" s="156">
        <f t="shared" si="12"/>
        <v>0</v>
      </c>
      <c r="T68" s="157">
        <f t="shared" si="12"/>
        <v>13.745809204510822</v>
      </c>
      <c r="U68" s="157">
        <f t="shared" si="12"/>
        <v>3.4135934166412683</v>
      </c>
      <c r="V68" s="157">
        <f t="shared" si="12"/>
        <v>4.9984760743675718</v>
      </c>
      <c r="W68" s="157">
        <f t="shared" si="12"/>
        <v>77.842121304480344</v>
      </c>
      <c r="X68" s="158"/>
      <c r="Y68" s="157"/>
      <c r="Z68" s="156"/>
      <c r="AA68" s="157"/>
      <c r="AB68" s="154" t="s">
        <v>683</v>
      </c>
      <c r="AC68" s="154" t="s">
        <v>682</v>
      </c>
      <c r="AD68" s="153" t="s">
        <v>681</v>
      </c>
      <c r="AE68" s="155" t="s">
        <v>680</v>
      </c>
      <c r="AF68" s="159"/>
      <c r="AG68" s="160" t="s">
        <v>95</v>
      </c>
      <c r="AH68" s="161" t="str">
        <f t="shared" si="14"/>
        <v>,1242</v>
      </c>
      <c r="AI68" s="162" t="s">
        <v>99</v>
      </c>
      <c r="AJ68" s="153">
        <v>0.34300000000000003</v>
      </c>
      <c r="AK68" s="163" t="s">
        <v>453</v>
      </c>
      <c r="AL68" s="164" t="s">
        <v>703</v>
      </c>
      <c r="AM68" s="160" t="s">
        <v>96</v>
      </c>
      <c r="AN68" s="161" t="str">
        <f>AH68</f>
        <v>,1242</v>
      </c>
      <c r="AO68" s="162" t="s">
        <v>99</v>
      </c>
      <c r="AP68" s="153">
        <v>7.0000000000000007E-2</v>
      </c>
      <c r="AQ68" s="163" t="s">
        <v>453</v>
      </c>
      <c r="AR68" s="164" t="s">
        <v>703</v>
      </c>
      <c r="AS68" s="160" t="s">
        <v>114</v>
      </c>
      <c r="AT68" s="161" t="str">
        <f>AN68</f>
        <v>,1242</v>
      </c>
      <c r="AU68" s="162" t="s">
        <v>99</v>
      </c>
      <c r="AV68" s="153">
        <v>3.7999999999999999E-2</v>
      </c>
      <c r="AW68" s="163" t="s">
        <v>453</v>
      </c>
      <c r="AX68" s="153" t="s">
        <v>703</v>
      </c>
      <c r="AY68" s="160"/>
      <c r="AZ68" s="163"/>
      <c r="BA68" s="162"/>
      <c r="BB68" s="153"/>
      <c r="BC68" s="163"/>
      <c r="BD68" s="164"/>
      <c r="BE68" s="160"/>
      <c r="BF68" s="163"/>
      <c r="BG68" s="162"/>
      <c r="BH68" s="153"/>
      <c r="BI68" s="163"/>
      <c r="BJ68" s="165"/>
      <c r="BK68" s="153"/>
    </row>
    <row r="69" spans="2:63" s="166" customFormat="1" x14ac:dyDescent="0.25">
      <c r="B69" s="144"/>
      <c r="C69" s="149">
        <v>2</v>
      </c>
      <c r="D69" s="145">
        <v>65</v>
      </c>
      <c r="E69" s="145" t="s">
        <v>90</v>
      </c>
      <c r="F69" s="146" t="s">
        <v>428</v>
      </c>
      <c r="G69" s="147">
        <f t="shared" si="13"/>
        <v>3.5720000000000001</v>
      </c>
      <c r="H69" s="148" t="s">
        <v>433</v>
      </c>
      <c r="I69" s="149">
        <v>3</v>
      </c>
      <c r="J69" s="149">
        <v>2</v>
      </c>
      <c r="K69" s="150">
        <v>33</v>
      </c>
      <c r="L69" s="151">
        <f t="shared" si="2"/>
        <v>38</v>
      </c>
      <c r="M69" s="152">
        <v>0</v>
      </c>
      <c r="N69" s="153">
        <f>0.159+0.375+0.096</f>
        <v>0.63</v>
      </c>
      <c r="O69" s="153">
        <v>0.09</v>
      </c>
      <c r="P69" s="153">
        <v>0.13100000000000001</v>
      </c>
      <c r="Q69" s="154">
        <v>2.7210000000000001</v>
      </c>
      <c r="R69" s="155"/>
      <c r="S69" s="156">
        <f t="shared" si="12"/>
        <v>0</v>
      </c>
      <c r="T69" s="157">
        <f t="shared" si="12"/>
        <v>17.637178051511757</v>
      </c>
      <c r="U69" s="157">
        <f t="shared" si="12"/>
        <v>2.5195968645016795</v>
      </c>
      <c r="V69" s="157">
        <f t="shared" si="12"/>
        <v>3.6674132138857782</v>
      </c>
      <c r="W69" s="157">
        <f t="shared" si="12"/>
        <v>76.175811870100787</v>
      </c>
      <c r="X69" s="158"/>
      <c r="Y69" s="157"/>
      <c r="Z69" s="156"/>
      <c r="AA69" s="157"/>
      <c r="AB69" s="154" t="s">
        <v>687</v>
      </c>
      <c r="AC69" s="154" t="s">
        <v>686</v>
      </c>
      <c r="AD69" s="153" t="s">
        <v>685</v>
      </c>
      <c r="AE69" s="155" t="s">
        <v>684</v>
      </c>
      <c r="AF69" s="159"/>
      <c r="AG69" s="160" t="s">
        <v>95</v>
      </c>
      <c r="AH69" s="163" t="str">
        <f t="shared" si="14"/>
        <v>,1246</v>
      </c>
      <c r="AI69" s="162" t="s">
        <v>99</v>
      </c>
      <c r="AJ69" s="153">
        <v>0.159</v>
      </c>
      <c r="AK69" s="163" t="s">
        <v>453</v>
      </c>
      <c r="AL69" s="164" t="s">
        <v>703</v>
      </c>
      <c r="AM69" s="160" t="s">
        <v>96</v>
      </c>
      <c r="AN69" s="163" t="str">
        <f>AH69</f>
        <v>,1246</v>
      </c>
      <c r="AO69" s="162" t="s">
        <v>99</v>
      </c>
      <c r="AP69" s="153">
        <v>0.375</v>
      </c>
      <c r="AQ69" s="163" t="s">
        <v>453</v>
      </c>
      <c r="AR69" s="167" t="s">
        <v>703</v>
      </c>
      <c r="AS69" s="160" t="s">
        <v>114</v>
      </c>
      <c r="AT69" s="163" t="str">
        <f>AN69</f>
        <v>,1246</v>
      </c>
      <c r="AU69" s="162" t="s">
        <v>99</v>
      </c>
      <c r="AV69" s="153">
        <v>9.6000000000000002E-2</v>
      </c>
      <c r="AW69" s="163" t="s">
        <v>453</v>
      </c>
      <c r="AX69" s="149" t="s">
        <v>703</v>
      </c>
      <c r="AY69" s="160"/>
      <c r="AZ69" s="163"/>
      <c r="BA69" s="162"/>
      <c r="BB69" s="153"/>
      <c r="BC69" s="163"/>
      <c r="BD69" s="167"/>
      <c r="BE69" s="160"/>
      <c r="BF69" s="163"/>
      <c r="BG69" s="162"/>
      <c r="BH69" s="153"/>
      <c r="BI69" s="163"/>
      <c r="BJ69" s="168"/>
      <c r="BK69" s="153"/>
    </row>
    <row r="70" spans="2:63" ht="15.75" thickBot="1" x14ac:dyDescent="0.3">
      <c r="B70" s="55"/>
      <c r="C70" s="56">
        <v>2</v>
      </c>
      <c r="D70" s="56">
        <v>66</v>
      </c>
      <c r="E70" s="58" t="s">
        <v>91</v>
      </c>
      <c r="F70" s="113" t="s">
        <v>429</v>
      </c>
      <c r="G70" s="75">
        <f t="shared" si="13"/>
        <v>2.9139999999999997</v>
      </c>
      <c r="H70" s="57" t="s">
        <v>433</v>
      </c>
      <c r="I70" s="58">
        <v>2</v>
      </c>
      <c r="J70" s="58">
        <v>13</v>
      </c>
      <c r="K70" s="59">
        <v>30</v>
      </c>
      <c r="L70" s="73">
        <f t="shared" ref="L70" si="16">SUM(H70:K70)</f>
        <v>45</v>
      </c>
      <c r="M70" s="119">
        <v>0</v>
      </c>
      <c r="N70" s="60">
        <f>0.063+0.08</f>
        <v>0.14300000000000002</v>
      </c>
      <c r="O70" s="60">
        <v>0.252</v>
      </c>
      <c r="P70" s="60">
        <v>0.13400000000000001</v>
      </c>
      <c r="Q70" s="60">
        <v>2.3849999999999998</v>
      </c>
      <c r="R70" s="61"/>
      <c r="S70" s="62">
        <f t="shared" si="12"/>
        <v>0</v>
      </c>
      <c r="T70" s="63">
        <f t="shared" si="12"/>
        <v>4.9073438572409067</v>
      </c>
      <c r="U70" s="63">
        <f t="shared" si="12"/>
        <v>8.6479066575154437</v>
      </c>
      <c r="V70" s="63">
        <f t="shared" si="12"/>
        <v>4.598490048043927</v>
      </c>
      <c r="W70" s="63">
        <f t="shared" si="12"/>
        <v>81.846259437199734</v>
      </c>
      <c r="X70" s="64"/>
      <c r="Y70" s="82"/>
      <c r="Z70" s="62"/>
      <c r="AA70" s="63"/>
      <c r="AB70" s="60" t="s">
        <v>691</v>
      </c>
      <c r="AC70" s="60" t="s">
        <v>690</v>
      </c>
      <c r="AD70" s="60" t="s">
        <v>689</v>
      </c>
      <c r="AE70" s="61" t="s">
        <v>688</v>
      </c>
      <c r="AF70" s="65"/>
      <c r="AG70" s="66" t="s">
        <v>95</v>
      </c>
      <c r="AH70" s="67" t="str">
        <f t="shared" si="14"/>
        <v>,1250</v>
      </c>
      <c r="AI70" s="68" t="s">
        <v>99</v>
      </c>
      <c r="AJ70" s="60">
        <v>6.3E-2</v>
      </c>
      <c r="AK70" s="71" t="s">
        <v>453</v>
      </c>
      <c r="AL70" s="70" t="s">
        <v>703</v>
      </c>
      <c r="AM70" s="66" t="s">
        <v>96</v>
      </c>
      <c r="AN70" s="67" t="str">
        <f>AH70</f>
        <v>,1250</v>
      </c>
      <c r="AO70" s="68" t="s">
        <v>99</v>
      </c>
      <c r="AP70" s="60">
        <v>0.08</v>
      </c>
      <c r="AQ70" s="67" t="s">
        <v>453</v>
      </c>
      <c r="AR70" s="69" t="s">
        <v>703</v>
      </c>
      <c r="AS70" s="66"/>
      <c r="AT70" s="67"/>
      <c r="AU70" s="68"/>
      <c r="AV70" s="60"/>
      <c r="AW70" s="67"/>
      <c r="AX70" s="58"/>
      <c r="AY70" s="66"/>
      <c r="AZ70" s="67"/>
      <c r="BA70" s="68"/>
      <c r="BB70" s="60"/>
      <c r="BC70" s="67"/>
      <c r="BD70" s="69"/>
      <c r="BE70" s="66"/>
      <c r="BF70" s="67"/>
      <c r="BG70" s="68"/>
      <c r="BH70" s="60"/>
      <c r="BI70" s="67"/>
      <c r="BJ70" s="70"/>
      <c r="BK70" s="5"/>
    </row>
    <row r="71" spans="2:63" ht="39" customHeight="1" thickTop="1" x14ac:dyDescent="0.25">
      <c r="B71" s="139"/>
      <c r="C71" s="35"/>
      <c r="D71" s="35"/>
      <c r="E71" s="255"/>
      <c r="F71" s="255"/>
      <c r="G71" s="78"/>
      <c r="H71" s="104" t="s">
        <v>511</v>
      </c>
      <c r="I71" s="209">
        <f>SUM(H5:I70)-4-1-2</f>
        <v>79</v>
      </c>
      <c r="J71" s="6"/>
      <c r="K71" s="6"/>
      <c r="L71" s="6"/>
      <c r="M71" s="5"/>
      <c r="N71" s="5"/>
      <c r="O71" s="5"/>
      <c r="P71" s="5"/>
      <c r="Q71" s="5"/>
      <c r="R71" s="5"/>
      <c r="S71" s="26"/>
      <c r="T71" s="26"/>
      <c r="U71" s="26"/>
      <c r="V71" s="26"/>
      <c r="W71" s="26"/>
      <c r="X71" s="26"/>
      <c r="Y71" s="82"/>
      <c r="Z71" s="82"/>
      <c r="AA71" s="82"/>
      <c r="AB71" s="5"/>
      <c r="AC71" s="5"/>
      <c r="AD71" s="5"/>
      <c r="AE71" s="5"/>
      <c r="AF71" s="53"/>
      <c r="AI71" s="30"/>
      <c r="AJ71" s="5"/>
      <c r="AO71" s="30"/>
      <c r="AP71" s="5"/>
      <c r="AQ71" s="2"/>
      <c r="AR71" s="31"/>
      <c r="AU71" s="30"/>
      <c r="AV71" s="5"/>
      <c r="AW71" s="2"/>
      <c r="AX71" s="6"/>
      <c r="BA71" s="30"/>
      <c r="BB71" s="5"/>
      <c r="BC71" s="2"/>
      <c r="BD71" s="31"/>
      <c r="BG71" s="30"/>
      <c r="BH71" s="5"/>
      <c r="BJ71" s="31"/>
      <c r="BK71" s="5"/>
    </row>
    <row r="72" spans="2:63" s="223" customFormat="1" ht="15.75" x14ac:dyDescent="0.25">
      <c r="C72" s="217" t="s">
        <v>779</v>
      </c>
      <c r="E72" s="217"/>
      <c r="F72" s="217"/>
      <c r="G72" s="224">
        <f>SUM(G5:G70)</f>
        <v>201.20299999999995</v>
      </c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25"/>
      <c r="Z72" s="225"/>
      <c r="AA72" s="225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26"/>
      <c r="AM72" s="217"/>
      <c r="AN72" s="217"/>
      <c r="AO72" s="217"/>
      <c r="AP72" s="217"/>
      <c r="AQ72" s="227"/>
      <c r="AR72" s="226"/>
      <c r="AS72" s="217"/>
      <c r="AT72" s="217"/>
      <c r="AU72" s="217"/>
      <c r="AV72" s="217"/>
      <c r="AW72" s="227"/>
      <c r="AX72" s="228"/>
      <c r="AY72" s="217"/>
      <c r="AZ72" s="217"/>
      <c r="BA72" s="229"/>
      <c r="BB72" s="217"/>
      <c r="BC72" s="227"/>
      <c r="BD72" s="226"/>
      <c r="BE72" s="217"/>
      <c r="BF72" s="217"/>
      <c r="BG72" s="229"/>
      <c r="BH72" s="217"/>
      <c r="BI72" s="217"/>
      <c r="BJ72" s="226"/>
      <c r="BK72" s="227"/>
    </row>
    <row r="73" spans="2:63" x14ac:dyDescent="0.25">
      <c r="S73" s="53"/>
    </row>
  </sheetData>
  <mergeCells count="6">
    <mergeCell ref="AG3:BJ3"/>
    <mergeCell ref="E71:F71"/>
    <mergeCell ref="B3:G3"/>
    <mergeCell ref="H3:L3"/>
    <mergeCell ref="M3:R3"/>
    <mergeCell ref="S3:X3"/>
  </mergeCells>
  <phoneticPr fontId="9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F397-730E-4CD5-881C-2B16C306D5CB}">
  <dimension ref="A1:XDQ101"/>
  <sheetViews>
    <sheetView workbookViewId="0">
      <pane xSplit="6" ySplit="4" topLeftCell="G60" activePane="bottomRight" state="frozen"/>
      <selection pane="topRight" activeCell="G1" sqref="G1"/>
      <selection pane="bottomLeft" activeCell="A5" sqref="A5"/>
      <selection pane="bottomRight" activeCell="G81" sqref="G81"/>
    </sheetView>
  </sheetViews>
  <sheetFormatPr defaultRowHeight="15" x14ac:dyDescent="0.25"/>
  <cols>
    <col min="1" max="1" width="1.85546875" customWidth="1"/>
    <col min="2" max="2" width="10" customWidth="1"/>
    <col min="3" max="3" width="6.140625" customWidth="1"/>
    <col min="4" max="4" width="9.28515625" style="2" customWidth="1"/>
    <col min="5" max="5" width="9.140625" style="2"/>
    <col min="6" max="6" width="14.85546875" style="2" customWidth="1"/>
    <col min="7" max="7" width="10.7109375" style="2" customWidth="1"/>
    <col min="8" max="8" width="10" style="2" customWidth="1"/>
    <col min="9" max="13" width="9.140625" style="2"/>
    <col min="14" max="14" width="3.7109375" style="86" customWidth="1"/>
    <col min="15" max="15" width="9.7109375" style="86" customWidth="1"/>
    <col min="16" max="16" width="9.140625" style="2"/>
    <col min="17" max="17" width="3.42578125" style="2" customWidth="1"/>
    <col min="18" max="18" width="9.140625" style="2"/>
    <col min="19" max="19" width="11.140625" style="2" customWidth="1"/>
    <col min="20" max="20" width="8.42578125" style="2" customWidth="1"/>
    <col min="21" max="21" width="12.28515625" style="2" customWidth="1"/>
    <col min="22" max="22" width="10.42578125" style="2" customWidth="1"/>
    <col min="23" max="23" width="9.28515625" style="3" customWidth="1"/>
    <col min="24" max="24" width="9.140625" style="4"/>
  </cols>
  <sheetData>
    <row r="1" spans="1:16345" ht="18.75" x14ac:dyDescent="0.3">
      <c r="A1" s="1" t="s">
        <v>692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5"/>
      <c r="O1" s="8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</row>
    <row r="2" spans="1:16345" ht="15.75" thickBot="1" x14ac:dyDescent="0.3"/>
    <row r="3" spans="1:16345" s="6" customFormat="1" ht="33" customHeight="1" thickBot="1" x14ac:dyDescent="0.3">
      <c r="B3" s="252" t="s">
        <v>7</v>
      </c>
      <c r="C3" s="253"/>
      <c r="D3" s="253"/>
      <c r="E3" s="253"/>
      <c r="F3" s="253"/>
      <c r="G3" s="254"/>
      <c r="H3" s="252" t="s">
        <v>8</v>
      </c>
      <c r="I3" s="254"/>
      <c r="J3" s="252" t="s">
        <v>9</v>
      </c>
      <c r="K3" s="253"/>
      <c r="L3" s="252" t="s">
        <v>10</v>
      </c>
      <c r="M3" s="254"/>
      <c r="N3" s="230"/>
      <c r="O3" s="252" t="s">
        <v>697</v>
      </c>
      <c r="P3" s="254"/>
      <c r="R3" s="256" t="s">
        <v>698</v>
      </c>
      <c r="S3" s="257"/>
      <c r="T3" s="257"/>
      <c r="U3" s="257"/>
      <c r="V3" s="257"/>
      <c r="W3" s="258"/>
    </row>
    <row r="4" spans="1:16345" ht="45.75" thickBot="1" x14ac:dyDescent="0.3">
      <c r="B4" s="7" t="s">
        <v>431</v>
      </c>
      <c r="C4" s="8" t="s">
        <v>12</v>
      </c>
      <c r="D4" s="8" t="s">
        <v>13</v>
      </c>
      <c r="E4" s="8" t="s">
        <v>432</v>
      </c>
      <c r="F4" s="110" t="s">
        <v>360</v>
      </c>
      <c r="G4" s="9" t="s">
        <v>14</v>
      </c>
      <c r="H4" s="7" t="s">
        <v>15</v>
      </c>
      <c r="I4" s="11" t="s">
        <v>19</v>
      </c>
      <c r="J4" s="7" t="s">
        <v>15</v>
      </c>
      <c r="K4" s="83" t="s">
        <v>695</v>
      </c>
      <c r="L4" s="7" t="s">
        <v>15</v>
      </c>
      <c r="M4" s="10" t="s">
        <v>696</v>
      </c>
      <c r="N4" s="81"/>
      <c r="O4" s="13" t="s">
        <v>15</v>
      </c>
      <c r="P4" s="10" t="s">
        <v>20</v>
      </c>
      <c r="Q4" s="12"/>
      <c r="R4" s="13" t="s">
        <v>21</v>
      </c>
      <c r="S4" s="14" t="s">
        <v>28</v>
      </c>
      <c r="T4" s="14" t="s">
        <v>22</v>
      </c>
      <c r="U4" s="15" t="s">
        <v>23</v>
      </c>
      <c r="V4" s="14" t="s">
        <v>24</v>
      </c>
      <c r="W4" s="16" t="s">
        <v>25</v>
      </c>
      <c r="X4" s="18"/>
    </row>
    <row r="5" spans="1:16345" s="163" customFormat="1" x14ac:dyDescent="0.25">
      <c r="B5" s="169">
        <v>44725</v>
      </c>
      <c r="C5" s="149">
        <v>3</v>
      </c>
      <c r="D5" s="149">
        <v>1</v>
      </c>
      <c r="E5" s="149" t="s">
        <v>781</v>
      </c>
      <c r="F5" s="173" t="s">
        <v>372</v>
      </c>
      <c r="G5" s="147">
        <f t="shared" ref="G5:G36" si="0">SUM(J5:K5)</f>
        <v>4.04</v>
      </c>
      <c r="H5" s="170" t="s">
        <v>434</v>
      </c>
      <c r="I5" s="151" t="str">
        <f>H5</f>
        <v xml:space="preserve"> - </v>
      </c>
      <c r="J5" s="152">
        <v>0</v>
      </c>
      <c r="K5" s="154">
        <v>4.04</v>
      </c>
      <c r="L5" s="156">
        <f t="shared" ref="L5:L36" si="1">J5/$G5*100</f>
        <v>0</v>
      </c>
      <c r="M5" s="193">
        <f t="shared" ref="M5:M36" si="2">K5/$G5*100</f>
        <v>100</v>
      </c>
      <c r="N5" s="157"/>
      <c r="O5" s="156" t="s">
        <v>209</v>
      </c>
      <c r="P5" s="155" t="s">
        <v>699</v>
      </c>
      <c r="Q5" s="159"/>
      <c r="R5" s="160"/>
      <c r="S5" s="194"/>
      <c r="T5" s="195"/>
      <c r="U5" s="154"/>
      <c r="V5" s="196"/>
      <c r="W5" s="168"/>
      <c r="X5" s="161"/>
    </row>
    <row r="6" spans="1:16345" s="163" customFormat="1" x14ac:dyDescent="0.25">
      <c r="B6" s="180"/>
      <c r="C6" s="145">
        <v>3</v>
      </c>
      <c r="D6" s="145">
        <v>2</v>
      </c>
      <c r="E6" s="145" t="s">
        <v>30</v>
      </c>
      <c r="F6" s="181" t="s">
        <v>365</v>
      </c>
      <c r="G6" s="147">
        <f t="shared" si="0"/>
        <v>2.1040000000000001</v>
      </c>
      <c r="H6" s="170" t="s">
        <v>433</v>
      </c>
      <c r="I6" s="151" t="str">
        <f t="shared" ref="I6:I69" si="3">H6</f>
        <v xml:space="preserve"> -</v>
      </c>
      <c r="J6" s="152">
        <v>0</v>
      </c>
      <c r="K6" s="154">
        <v>2.1040000000000001</v>
      </c>
      <c r="L6" s="156">
        <f t="shared" si="1"/>
        <v>0</v>
      </c>
      <c r="M6" s="158">
        <f t="shared" si="2"/>
        <v>100</v>
      </c>
      <c r="N6" s="157"/>
      <c r="O6" s="156"/>
      <c r="P6" s="155" t="s">
        <v>700</v>
      </c>
      <c r="Q6" s="159"/>
      <c r="R6" s="160"/>
      <c r="S6" s="194"/>
      <c r="T6" s="195"/>
      <c r="U6" s="154"/>
      <c r="V6" s="196"/>
      <c r="W6" s="168"/>
      <c r="X6" s="161"/>
    </row>
    <row r="7" spans="1:16345" s="163" customFormat="1" x14ac:dyDescent="0.25">
      <c r="B7" s="180"/>
      <c r="C7" s="145">
        <v>3</v>
      </c>
      <c r="D7" s="145">
        <v>3</v>
      </c>
      <c r="E7" s="145" t="s">
        <v>31</v>
      </c>
      <c r="F7" s="146" t="s">
        <v>366</v>
      </c>
      <c r="G7" s="147">
        <f t="shared" si="0"/>
        <v>3.0680000000000001</v>
      </c>
      <c r="H7" s="170">
        <v>1</v>
      </c>
      <c r="I7" s="151">
        <f t="shared" si="3"/>
        <v>1</v>
      </c>
      <c r="J7" s="174">
        <v>0.878</v>
      </c>
      <c r="K7" s="154">
        <v>2.19</v>
      </c>
      <c r="L7" s="156">
        <f t="shared" si="1"/>
        <v>28.617992177314211</v>
      </c>
      <c r="M7" s="158">
        <f t="shared" si="2"/>
        <v>71.382007822685793</v>
      </c>
      <c r="N7" s="157"/>
      <c r="O7" s="156" t="s">
        <v>776</v>
      </c>
      <c r="P7" s="155" t="s">
        <v>701</v>
      </c>
      <c r="Q7" s="159"/>
      <c r="R7" s="204" t="str">
        <f>O7</f>
        <v>,2076</v>
      </c>
      <c r="S7" s="194" t="str">
        <f>R7</f>
        <v>,2076</v>
      </c>
      <c r="T7" s="195" t="s">
        <v>112</v>
      </c>
      <c r="U7" s="154">
        <f>J7</f>
        <v>0.878</v>
      </c>
      <c r="V7" s="196" t="s">
        <v>502</v>
      </c>
      <c r="W7" s="168" t="s">
        <v>703</v>
      </c>
      <c r="X7" s="153"/>
    </row>
    <row r="8" spans="1:16345" s="96" customFormat="1" x14ac:dyDescent="0.25">
      <c r="B8" s="107"/>
      <c r="C8" s="19">
        <v>3</v>
      </c>
      <c r="D8" s="19">
        <v>4</v>
      </c>
      <c r="E8" s="19" t="s">
        <v>32</v>
      </c>
      <c r="F8" s="114" t="s">
        <v>367</v>
      </c>
      <c r="G8" s="97">
        <f t="shared" si="0"/>
        <v>2.5790000000000002</v>
      </c>
      <c r="H8" s="20" t="s">
        <v>433</v>
      </c>
      <c r="I8" s="151" t="str">
        <f t="shared" si="3"/>
        <v xml:space="preserve"> -</v>
      </c>
      <c r="J8" s="121">
        <v>0</v>
      </c>
      <c r="K8" s="91">
        <v>2.5790000000000002</v>
      </c>
      <c r="L8" s="99">
        <f t="shared" si="1"/>
        <v>0</v>
      </c>
      <c r="M8" s="101">
        <f t="shared" si="2"/>
        <v>100</v>
      </c>
      <c r="N8" s="100"/>
      <c r="O8" s="99"/>
      <c r="P8" s="49" t="s">
        <v>702</v>
      </c>
      <c r="Q8" s="50"/>
      <c r="R8" s="39"/>
      <c r="S8" s="194"/>
      <c r="T8" s="197"/>
      <c r="U8" s="91"/>
      <c r="V8" s="130"/>
      <c r="W8" s="52"/>
      <c r="X8" s="42"/>
    </row>
    <row r="9" spans="1:16345" x14ac:dyDescent="0.25">
      <c r="B9" s="105"/>
      <c r="C9" s="6">
        <v>3</v>
      </c>
      <c r="D9" s="35">
        <v>5</v>
      </c>
      <c r="E9" s="35" t="s">
        <v>33</v>
      </c>
      <c r="F9" s="113" t="s">
        <v>368</v>
      </c>
      <c r="G9" s="36">
        <f t="shared" si="0"/>
        <v>2.63</v>
      </c>
      <c r="H9" s="20" t="s">
        <v>433</v>
      </c>
      <c r="I9" s="151" t="str">
        <f t="shared" si="3"/>
        <v xml:space="preserve"> -</v>
      </c>
      <c r="J9" s="117">
        <v>0</v>
      </c>
      <c r="K9" s="90">
        <v>2.63</v>
      </c>
      <c r="L9" s="25">
        <f t="shared" si="1"/>
        <v>0</v>
      </c>
      <c r="M9" s="27">
        <f t="shared" si="2"/>
        <v>100</v>
      </c>
      <c r="N9" s="82"/>
      <c r="O9" s="25"/>
      <c r="P9" s="24" t="s">
        <v>704</v>
      </c>
      <c r="Q9" s="28"/>
      <c r="R9" s="29"/>
      <c r="S9" s="194"/>
      <c r="T9" s="129"/>
      <c r="U9" s="90"/>
      <c r="V9" s="86"/>
      <c r="W9" s="46"/>
      <c r="X9" s="5"/>
    </row>
    <row r="10" spans="1:16345" s="40" customFormat="1" x14ac:dyDescent="0.25">
      <c r="B10" s="108"/>
      <c r="C10" s="35">
        <v>3</v>
      </c>
      <c r="D10" s="19">
        <v>6</v>
      </c>
      <c r="E10" s="19" t="s">
        <v>34</v>
      </c>
      <c r="F10" s="113" t="s">
        <v>369</v>
      </c>
      <c r="G10" s="36">
        <f t="shared" si="0"/>
        <v>2.8479999999999999</v>
      </c>
      <c r="H10" s="20" t="s">
        <v>433</v>
      </c>
      <c r="I10" s="151" t="str">
        <f t="shared" si="3"/>
        <v xml:space="preserve"> -</v>
      </c>
      <c r="J10" s="121">
        <v>0</v>
      </c>
      <c r="K10" s="91">
        <v>2.8479999999999999</v>
      </c>
      <c r="L10" s="25">
        <f t="shared" si="1"/>
        <v>0</v>
      </c>
      <c r="M10" s="27">
        <f t="shared" si="2"/>
        <v>100</v>
      </c>
      <c r="N10" s="82"/>
      <c r="O10" s="25"/>
      <c r="P10" s="49" t="s">
        <v>705</v>
      </c>
      <c r="Q10" s="50"/>
      <c r="R10" s="39"/>
      <c r="S10" s="194"/>
      <c r="T10" s="129"/>
      <c r="U10" s="91"/>
      <c r="V10" s="130"/>
      <c r="W10" s="52"/>
      <c r="X10" s="42"/>
    </row>
    <row r="11" spans="1:16345" s="2" customFormat="1" x14ac:dyDescent="0.25">
      <c r="B11" s="105"/>
      <c r="C11" s="6">
        <v>3</v>
      </c>
      <c r="D11" s="35">
        <v>7</v>
      </c>
      <c r="E11" s="35" t="s">
        <v>35</v>
      </c>
      <c r="F11" s="113" t="s">
        <v>370</v>
      </c>
      <c r="G11" s="36">
        <f t="shared" si="0"/>
        <v>3.1539999999999999</v>
      </c>
      <c r="H11" s="20" t="s">
        <v>433</v>
      </c>
      <c r="I11" s="151" t="str">
        <f t="shared" si="3"/>
        <v xml:space="preserve"> -</v>
      </c>
      <c r="J11" s="117">
        <v>0</v>
      </c>
      <c r="K11" s="90">
        <v>3.1539999999999999</v>
      </c>
      <c r="L11" s="25">
        <f t="shared" si="1"/>
        <v>0</v>
      </c>
      <c r="M11" s="27">
        <f t="shared" si="2"/>
        <v>100</v>
      </c>
      <c r="N11" s="82"/>
      <c r="O11" s="25"/>
      <c r="P11" s="24" t="s">
        <v>706</v>
      </c>
      <c r="Q11" s="28"/>
      <c r="R11" s="29"/>
      <c r="S11" s="194"/>
      <c r="T11" s="129"/>
      <c r="U11" s="90"/>
      <c r="V11" s="86"/>
      <c r="W11" s="37"/>
      <c r="X11" s="5"/>
    </row>
    <row r="12" spans="1:16345" s="2" customFormat="1" x14ac:dyDescent="0.25">
      <c r="B12" s="109"/>
      <c r="C12" s="35">
        <v>3</v>
      </c>
      <c r="D12" s="35">
        <v>8</v>
      </c>
      <c r="E12" s="35" t="s">
        <v>36</v>
      </c>
      <c r="F12" s="113" t="s">
        <v>371</v>
      </c>
      <c r="G12" s="36">
        <f t="shared" si="0"/>
        <v>3.3969999999999998</v>
      </c>
      <c r="H12" s="20" t="s">
        <v>433</v>
      </c>
      <c r="I12" s="151" t="str">
        <f t="shared" si="3"/>
        <v xml:space="preserve"> -</v>
      </c>
      <c r="J12" s="117">
        <v>0</v>
      </c>
      <c r="K12" s="90">
        <v>3.3969999999999998</v>
      </c>
      <c r="L12" s="25">
        <f t="shared" si="1"/>
        <v>0</v>
      </c>
      <c r="M12" s="27">
        <f t="shared" si="2"/>
        <v>100</v>
      </c>
      <c r="N12" s="82"/>
      <c r="O12" s="25"/>
      <c r="P12" s="24" t="s">
        <v>707</v>
      </c>
      <c r="Q12" s="28"/>
      <c r="R12" s="29"/>
      <c r="S12" s="194"/>
      <c r="T12" s="129"/>
      <c r="U12" s="91"/>
      <c r="V12" s="130"/>
      <c r="W12" s="37"/>
      <c r="X12" s="5"/>
    </row>
    <row r="13" spans="1:16345" s="2" customFormat="1" x14ac:dyDescent="0.25">
      <c r="B13" s="105">
        <v>44726</v>
      </c>
      <c r="C13" s="145">
        <v>3</v>
      </c>
      <c r="D13" s="35">
        <v>9</v>
      </c>
      <c r="E13" s="6" t="s">
        <v>37</v>
      </c>
      <c r="F13" s="113" t="s">
        <v>373</v>
      </c>
      <c r="G13" s="36">
        <f t="shared" si="0"/>
        <v>2.9830000000000001</v>
      </c>
      <c r="H13" s="20" t="s">
        <v>433</v>
      </c>
      <c r="I13" s="151" t="str">
        <f t="shared" si="3"/>
        <v xml:space="preserve"> -</v>
      </c>
      <c r="J13" s="117">
        <v>0</v>
      </c>
      <c r="K13" s="90">
        <v>2.9830000000000001</v>
      </c>
      <c r="L13" s="25">
        <f t="shared" si="1"/>
        <v>0</v>
      </c>
      <c r="M13" s="27">
        <f t="shared" si="2"/>
        <v>100</v>
      </c>
      <c r="N13" s="82"/>
      <c r="O13" s="25"/>
      <c r="P13" s="24" t="s">
        <v>708</v>
      </c>
      <c r="Q13" s="53"/>
      <c r="R13" s="29"/>
      <c r="S13" s="194"/>
      <c r="T13" s="129"/>
      <c r="U13" s="90"/>
      <c r="V13" s="86"/>
      <c r="W13" s="37"/>
      <c r="X13" s="5"/>
    </row>
    <row r="14" spans="1:16345" x14ac:dyDescent="0.25">
      <c r="B14" s="105"/>
      <c r="C14" s="145">
        <v>3</v>
      </c>
      <c r="D14" s="35">
        <v>10</v>
      </c>
      <c r="E14" s="35" t="s">
        <v>38</v>
      </c>
      <c r="F14" s="115" t="s">
        <v>374</v>
      </c>
      <c r="G14" s="36">
        <f t="shared" si="0"/>
        <v>1.389</v>
      </c>
      <c r="H14" s="20" t="s">
        <v>433</v>
      </c>
      <c r="I14" s="151" t="str">
        <f t="shared" si="3"/>
        <v xml:space="preserve"> -</v>
      </c>
      <c r="J14" s="117">
        <v>0</v>
      </c>
      <c r="K14" s="90">
        <v>1.389</v>
      </c>
      <c r="L14" s="25">
        <f t="shared" si="1"/>
        <v>0</v>
      </c>
      <c r="M14" s="27">
        <f t="shared" si="2"/>
        <v>100</v>
      </c>
      <c r="N14" s="82"/>
      <c r="O14" s="25"/>
      <c r="P14" s="24" t="s">
        <v>709</v>
      </c>
      <c r="Q14" s="53"/>
      <c r="R14" s="29"/>
      <c r="S14" s="194"/>
      <c r="T14" s="129"/>
      <c r="U14" s="90"/>
      <c r="V14" s="86"/>
      <c r="W14" s="37"/>
      <c r="X14" s="5"/>
    </row>
    <row r="15" spans="1:16345" x14ac:dyDescent="0.25">
      <c r="B15" s="105"/>
      <c r="C15" s="19">
        <v>3</v>
      </c>
      <c r="D15" s="35">
        <v>11</v>
      </c>
      <c r="E15" s="35" t="s">
        <v>39</v>
      </c>
      <c r="F15" s="113" t="s">
        <v>375</v>
      </c>
      <c r="G15" s="36">
        <f t="shared" si="0"/>
        <v>17.16</v>
      </c>
      <c r="H15" s="20">
        <v>1</v>
      </c>
      <c r="I15" s="151">
        <f t="shared" si="3"/>
        <v>1</v>
      </c>
      <c r="J15" s="23">
        <v>15.472</v>
      </c>
      <c r="K15" s="90">
        <v>1.6879999999999999</v>
      </c>
      <c r="L15" s="25">
        <f t="shared" si="1"/>
        <v>90.163170163170165</v>
      </c>
      <c r="M15" s="27">
        <f t="shared" si="2"/>
        <v>9.8368298368298372</v>
      </c>
      <c r="N15" s="82"/>
      <c r="O15" s="25" t="s">
        <v>775</v>
      </c>
      <c r="P15" s="24" t="s">
        <v>710</v>
      </c>
      <c r="Q15" s="53"/>
      <c r="R15" s="205" t="str">
        <f>O15</f>
        <v>,2077</v>
      </c>
      <c r="S15" s="194" t="str">
        <f>R15</f>
        <v>,2077</v>
      </c>
      <c r="T15" s="195" t="s">
        <v>112</v>
      </c>
      <c r="U15" s="91">
        <f>J15</f>
        <v>15.472</v>
      </c>
      <c r="V15" s="130" t="s">
        <v>453</v>
      </c>
      <c r="W15" s="37" t="s">
        <v>703</v>
      </c>
      <c r="X15" s="5"/>
    </row>
    <row r="16" spans="1:16345" x14ac:dyDescent="0.25">
      <c r="B16" s="109"/>
      <c r="C16" s="6">
        <v>3</v>
      </c>
      <c r="D16" s="35">
        <v>12</v>
      </c>
      <c r="E16" s="35" t="s">
        <v>40</v>
      </c>
      <c r="F16" s="113" t="s">
        <v>376</v>
      </c>
      <c r="G16" s="36">
        <f t="shared" si="0"/>
        <v>2</v>
      </c>
      <c r="H16" s="20" t="s">
        <v>433</v>
      </c>
      <c r="I16" s="151" t="str">
        <f t="shared" si="3"/>
        <v xml:space="preserve"> -</v>
      </c>
      <c r="J16" s="117">
        <v>0</v>
      </c>
      <c r="K16" s="90">
        <v>2</v>
      </c>
      <c r="L16" s="25">
        <f t="shared" si="1"/>
        <v>0</v>
      </c>
      <c r="M16" s="27">
        <f t="shared" si="2"/>
        <v>100</v>
      </c>
      <c r="N16" s="82"/>
      <c r="O16" s="25"/>
      <c r="P16" s="24" t="s">
        <v>711</v>
      </c>
      <c r="Q16" s="28"/>
      <c r="R16" s="205"/>
      <c r="S16" s="194"/>
      <c r="T16" s="129"/>
      <c r="U16" s="91"/>
      <c r="V16" s="130"/>
      <c r="W16" s="46"/>
      <c r="X16" s="5"/>
    </row>
    <row r="17" spans="2:24" x14ac:dyDescent="0.25">
      <c r="B17" s="105"/>
      <c r="C17" s="35">
        <v>3</v>
      </c>
      <c r="D17" s="35">
        <v>13</v>
      </c>
      <c r="E17" s="35" t="s">
        <v>41</v>
      </c>
      <c r="F17" s="113" t="s">
        <v>377</v>
      </c>
      <c r="G17" s="36">
        <f t="shared" si="0"/>
        <v>3.0139999999999998</v>
      </c>
      <c r="H17" s="20" t="s">
        <v>433</v>
      </c>
      <c r="I17" s="151" t="str">
        <f t="shared" si="3"/>
        <v xml:space="preserve"> -</v>
      </c>
      <c r="J17" s="117">
        <v>0</v>
      </c>
      <c r="K17" s="90">
        <v>3.0139999999999998</v>
      </c>
      <c r="L17" s="25">
        <f t="shared" si="1"/>
        <v>0</v>
      </c>
      <c r="M17" s="27">
        <f t="shared" si="2"/>
        <v>100</v>
      </c>
      <c r="N17" s="82"/>
      <c r="O17" s="25"/>
      <c r="P17" s="24" t="s">
        <v>712</v>
      </c>
      <c r="Q17" s="28"/>
      <c r="R17" s="205"/>
      <c r="S17" s="194"/>
      <c r="T17" s="129"/>
      <c r="U17" s="90"/>
      <c r="V17" s="130"/>
      <c r="W17" s="46"/>
      <c r="X17" s="5"/>
    </row>
    <row r="18" spans="2:24" x14ac:dyDescent="0.25">
      <c r="B18" s="105"/>
      <c r="C18" s="6">
        <v>3</v>
      </c>
      <c r="D18" s="35">
        <v>14</v>
      </c>
      <c r="E18" s="35" t="s">
        <v>42</v>
      </c>
      <c r="F18" s="113" t="s">
        <v>378</v>
      </c>
      <c r="G18" s="36">
        <f t="shared" si="0"/>
        <v>2.8370000000000002</v>
      </c>
      <c r="H18" s="20" t="s">
        <v>433</v>
      </c>
      <c r="I18" s="151" t="str">
        <f t="shared" si="3"/>
        <v xml:space="preserve"> -</v>
      </c>
      <c r="J18" s="117">
        <v>0</v>
      </c>
      <c r="K18" s="90">
        <v>2.8370000000000002</v>
      </c>
      <c r="L18" s="25">
        <f t="shared" si="1"/>
        <v>0</v>
      </c>
      <c r="M18" s="27">
        <f t="shared" si="2"/>
        <v>100</v>
      </c>
      <c r="N18" s="82"/>
      <c r="O18" s="25"/>
      <c r="P18" s="24" t="s">
        <v>713</v>
      </c>
      <c r="Q18" s="28"/>
      <c r="R18" s="205"/>
      <c r="S18" s="194"/>
      <c r="T18" s="129"/>
      <c r="U18" s="90"/>
      <c r="V18" s="86"/>
      <c r="W18" s="46"/>
      <c r="X18" s="5"/>
    </row>
    <row r="19" spans="2:24" x14ac:dyDescent="0.25">
      <c r="B19" s="105">
        <v>44727</v>
      </c>
      <c r="C19" s="35">
        <v>3</v>
      </c>
      <c r="D19" s="6">
        <v>15</v>
      </c>
      <c r="E19" s="6" t="s">
        <v>43</v>
      </c>
      <c r="F19" s="113" t="s">
        <v>379</v>
      </c>
      <c r="G19" s="36">
        <f t="shared" si="0"/>
        <v>3.0489999999999999</v>
      </c>
      <c r="H19" s="20" t="s">
        <v>433</v>
      </c>
      <c r="I19" s="151" t="str">
        <f t="shared" si="3"/>
        <v xml:space="preserve"> -</v>
      </c>
      <c r="J19" s="117">
        <v>0</v>
      </c>
      <c r="K19" s="90">
        <v>3.0489999999999999</v>
      </c>
      <c r="L19" s="25">
        <f t="shared" si="1"/>
        <v>0</v>
      </c>
      <c r="M19" s="27">
        <f t="shared" si="2"/>
        <v>100</v>
      </c>
      <c r="N19" s="82"/>
      <c r="O19" s="25"/>
      <c r="P19" s="24" t="s">
        <v>714</v>
      </c>
      <c r="Q19" s="53"/>
      <c r="R19" s="205"/>
      <c r="S19" s="194"/>
      <c r="T19" s="129"/>
      <c r="U19" s="90"/>
      <c r="V19" s="86"/>
      <c r="W19" s="37"/>
      <c r="X19" s="5"/>
    </row>
    <row r="20" spans="2:24" x14ac:dyDescent="0.25">
      <c r="B20" s="105"/>
      <c r="C20" s="145">
        <v>3</v>
      </c>
      <c r="D20" s="35">
        <v>16</v>
      </c>
      <c r="E20" s="35" t="s">
        <v>44</v>
      </c>
      <c r="F20" s="113" t="s">
        <v>380</v>
      </c>
      <c r="G20" s="36">
        <f t="shared" si="0"/>
        <v>3.18</v>
      </c>
      <c r="H20" s="20" t="s">
        <v>433</v>
      </c>
      <c r="I20" s="151" t="str">
        <f t="shared" si="3"/>
        <v xml:space="preserve"> -</v>
      </c>
      <c r="J20" s="117">
        <v>0</v>
      </c>
      <c r="K20" s="90">
        <v>3.18</v>
      </c>
      <c r="L20" s="25">
        <f t="shared" si="1"/>
        <v>0</v>
      </c>
      <c r="M20" s="27">
        <f t="shared" si="2"/>
        <v>100</v>
      </c>
      <c r="N20" s="82"/>
      <c r="O20" s="25"/>
      <c r="P20" s="24" t="s">
        <v>715</v>
      </c>
      <c r="Q20" s="28"/>
      <c r="R20" s="205"/>
      <c r="S20" s="194"/>
      <c r="T20" s="129"/>
      <c r="U20" s="90"/>
      <c r="V20" s="86"/>
      <c r="W20" s="46"/>
      <c r="X20" s="5"/>
    </row>
    <row r="21" spans="2:24" x14ac:dyDescent="0.25">
      <c r="B21" s="105"/>
      <c r="C21" s="145">
        <v>3</v>
      </c>
      <c r="D21" s="35">
        <v>17</v>
      </c>
      <c r="E21" s="35" t="s">
        <v>45</v>
      </c>
      <c r="F21" s="113" t="s">
        <v>381</v>
      </c>
      <c r="G21" s="36">
        <f t="shared" si="0"/>
        <v>3.8559999999999999</v>
      </c>
      <c r="H21" s="20">
        <v>1</v>
      </c>
      <c r="I21" s="151">
        <f t="shared" si="3"/>
        <v>1</v>
      </c>
      <c r="J21" s="23">
        <v>0.91300000000000003</v>
      </c>
      <c r="K21" s="90">
        <v>2.9430000000000001</v>
      </c>
      <c r="L21" s="25">
        <f t="shared" si="1"/>
        <v>23.677385892116185</v>
      </c>
      <c r="M21" s="27">
        <f t="shared" si="2"/>
        <v>76.322614107883822</v>
      </c>
      <c r="N21" s="82"/>
      <c r="O21" s="25" t="s">
        <v>774</v>
      </c>
      <c r="P21" s="24" t="s">
        <v>716</v>
      </c>
      <c r="Q21" s="28"/>
      <c r="R21" s="205" t="str">
        <f t="shared" ref="R21:R68" si="4">O21</f>
        <v>,2078</v>
      </c>
      <c r="S21" s="194" t="str">
        <f t="shared" ref="S21:S68" si="5">R21</f>
        <v>,2078</v>
      </c>
      <c r="T21" s="195" t="s">
        <v>112</v>
      </c>
      <c r="U21" s="90">
        <f>J21</f>
        <v>0.91300000000000003</v>
      </c>
      <c r="V21" s="86" t="s">
        <v>453</v>
      </c>
      <c r="W21" s="46" t="s">
        <v>703</v>
      </c>
      <c r="X21" s="5"/>
    </row>
    <row r="22" spans="2:24" x14ac:dyDescent="0.25">
      <c r="B22" s="105"/>
      <c r="C22" s="19">
        <v>3</v>
      </c>
      <c r="D22" s="35">
        <v>18</v>
      </c>
      <c r="E22" s="35" t="s">
        <v>46</v>
      </c>
      <c r="F22" s="113" t="s">
        <v>382</v>
      </c>
      <c r="G22" s="36">
        <f t="shared" si="0"/>
        <v>3.214</v>
      </c>
      <c r="H22" s="20" t="s">
        <v>433</v>
      </c>
      <c r="I22" s="151" t="s">
        <v>433</v>
      </c>
      <c r="J22" s="117">
        <v>0</v>
      </c>
      <c r="K22" s="90">
        <v>3.214</v>
      </c>
      <c r="L22" s="25">
        <f t="shared" si="1"/>
        <v>0</v>
      </c>
      <c r="M22" s="27">
        <f t="shared" si="2"/>
        <v>100</v>
      </c>
      <c r="N22" s="82"/>
      <c r="O22" s="25"/>
      <c r="P22" s="24" t="s">
        <v>717</v>
      </c>
      <c r="Q22" s="28"/>
      <c r="R22" s="205"/>
      <c r="S22" s="194"/>
      <c r="T22" s="129"/>
      <c r="U22" s="90"/>
      <c r="V22" s="130"/>
      <c r="W22" s="46"/>
      <c r="X22" s="5"/>
    </row>
    <row r="23" spans="2:24" x14ac:dyDescent="0.25">
      <c r="B23" s="105"/>
      <c r="C23" s="6">
        <v>3</v>
      </c>
      <c r="D23" s="35">
        <v>19</v>
      </c>
      <c r="E23" s="35" t="s">
        <v>47</v>
      </c>
      <c r="F23" s="113" t="s">
        <v>383</v>
      </c>
      <c r="G23" s="36">
        <f t="shared" si="0"/>
        <v>2.3650000000000002</v>
      </c>
      <c r="H23" s="20" t="s">
        <v>434</v>
      </c>
      <c r="I23" s="151" t="s">
        <v>433</v>
      </c>
      <c r="J23" s="117">
        <v>0</v>
      </c>
      <c r="K23" s="90">
        <v>2.3650000000000002</v>
      </c>
      <c r="L23" s="25">
        <f t="shared" si="1"/>
        <v>0</v>
      </c>
      <c r="M23" s="27">
        <f t="shared" si="2"/>
        <v>100</v>
      </c>
      <c r="N23" s="82"/>
      <c r="O23" s="25"/>
      <c r="P23" s="24" t="s">
        <v>718</v>
      </c>
      <c r="Q23" s="28"/>
      <c r="R23" s="205"/>
      <c r="S23" s="194"/>
      <c r="T23" s="129"/>
      <c r="U23" s="90"/>
      <c r="V23" s="130"/>
      <c r="W23" s="46"/>
      <c r="X23" s="5"/>
    </row>
    <row r="24" spans="2:24" s="96" customFormat="1" x14ac:dyDescent="0.25">
      <c r="B24" s="108"/>
      <c r="C24" s="35">
        <v>3</v>
      </c>
      <c r="D24" s="19">
        <v>20</v>
      </c>
      <c r="E24" s="19" t="s">
        <v>48</v>
      </c>
      <c r="F24" s="114" t="s">
        <v>384</v>
      </c>
      <c r="G24" s="97">
        <f t="shared" si="0"/>
        <v>2.8340000000000001</v>
      </c>
      <c r="H24" s="20" t="s">
        <v>433</v>
      </c>
      <c r="I24" s="151" t="str">
        <f t="shared" si="3"/>
        <v xml:space="preserve"> -</v>
      </c>
      <c r="J24" s="117">
        <v>0</v>
      </c>
      <c r="K24" s="91">
        <v>2.8340000000000001</v>
      </c>
      <c r="L24" s="99">
        <f t="shared" si="1"/>
        <v>0</v>
      </c>
      <c r="M24" s="101">
        <f t="shared" si="2"/>
        <v>100</v>
      </c>
      <c r="N24" s="100"/>
      <c r="O24" s="99"/>
      <c r="P24" s="24" t="s">
        <v>719</v>
      </c>
      <c r="Q24" s="50"/>
      <c r="R24" s="205"/>
      <c r="S24" s="194"/>
      <c r="T24" s="197"/>
      <c r="U24" s="91"/>
      <c r="V24" s="130"/>
      <c r="W24" s="103"/>
      <c r="X24" s="42"/>
    </row>
    <row r="25" spans="2:24" x14ac:dyDescent="0.25">
      <c r="B25" s="105"/>
      <c r="C25" s="6">
        <v>3</v>
      </c>
      <c r="D25" s="35">
        <v>21</v>
      </c>
      <c r="E25" s="35" t="s">
        <v>49</v>
      </c>
      <c r="F25" s="113" t="s">
        <v>385</v>
      </c>
      <c r="G25" s="36">
        <f t="shared" si="0"/>
        <v>3.1469999999999998</v>
      </c>
      <c r="H25" s="20">
        <v>1</v>
      </c>
      <c r="I25" s="151">
        <f t="shared" si="3"/>
        <v>1</v>
      </c>
      <c r="J25" s="23">
        <v>0.22700000000000001</v>
      </c>
      <c r="K25" s="90">
        <v>2.92</v>
      </c>
      <c r="L25" s="25">
        <f t="shared" si="1"/>
        <v>7.2132189386717522</v>
      </c>
      <c r="M25" s="27">
        <f t="shared" si="2"/>
        <v>92.786781061328256</v>
      </c>
      <c r="N25" s="82"/>
      <c r="O25" s="25" t="s">
        <v>720</v>
      </c>
      <c r="P25" s="24" t="s">
        <v>458</v>
      </c>
      <c r="Q25" s="53"/>
      <c r="R25" s="205" t="str">
        <f t="shared" si="4"/>
        <v>,2023</v>
      </c>
      <c r="S25" s="194" t="str">
        <f t="shared" si="5"/>
        <v>,2023</v>
      </c>
      <c r="T25" s="195" t="s">
        <v>112</v>
      </c>
      <c r="U25" s="90">
        <f>J25</f>
        <v>0.22700000000000001</v>
      </c>
      <c r="V25" s="86" t="s">
        <v>453</v>
      </c>
      <c r="W25" s="37" t="s">
        <v>703</v>
      </c>
      <c r="X25" s="5"/>
    </row>
    <row r="26" spans="2:24" x14ac:dyDescent="0.25">
      <c r="B26" s="105"/>
      <c r="C26" s="35">
        <v>3</v>
      </c>
      <c r="D26" s="35">
        <v>22</v>
      </c>
      <c r="E26" s="35" t="s">
        <v>50</v>
      </c>
      <c r="F26" s="113" t="s">
        <v>386</v>
      </c>
      <c r="G26" s="36">
        <f t="shared" si="0"/>
        <v>3.1960000000000002</v>
      </c>
      <c r="H26" s="20" t="s">
        <v>433</v>
      </c>
      <c r="I26" s="151" t="str">
        <f t="shared" si="3"/>
        <v xml:space="preserve"> -</v>
      </c>
      <c r="J26" s="117">
        <v>0</v>
      </c>
      <c r="K26" s="90">
        <v>3.1960000000000002</v>
      </c>
      <c r="L26" s="25">
        <f t="shared" si="1"/>
        <v>0</v>
      </c>
      <c r="M26" s="27">
        <f t="shared" si="2"/>
        <v>100</v>
      </c>
      <c r="N26" s="82"/>
      <c r="O26" s="25"/>
      <c r="P26" s="24" t="s">
        <v>721</v>
      </c>
      <c r="Q26" s="28"/>
      <c r="R26" s="205"/>
      <c r="S26" s="194"/>
      <c r="T26" s="129"/>
      <c r="U26" s="90"/>
      <c r="V26" s="86"/>
      <c r="W26" s="46"/>
      <c r="X26" s="5"/>
    </row>
    <row r="27" spans="2:24" x14ac:dyDescent="0.25">
      <c r="B27" s="105"/>
      <c r="C27" s="145">
        <v>3</v>
      </c>
      <c r="D27" s="35">
        <v>23</v>
      </c>
      <c r="E27" s="35" t="s">
        <v>51</v>
      </c>
      <c r="F27" s="115" t="s">
        <v>430</v>
      </c>
      <c r="G27" s="36">
        <f t="shared" si="0"/>
        <v>2.8730000000000002</v>
      </c>
      <c r="H27" s="20" t="s">
        <v>433</v>
      </c>
      <c r="I27" s="151" t="str">
        <f t="shared" si="3"/>
        <v xml:space="preserve"> -</v>
      </c>
      <c r="J27" s="117">
        <v>0</v>
      </c>
      <c r="K27" s="90">
        <v>2.8730000000000002</v>
      </c>
      <c r="L27" s="25">
        <f t="shared" si="1"/>
        <v>0</v>
      </c>
      <c r="M27" s="27">
        <f t="shared" si="2"/>
        <v>100</v>
      </c>
      <c r="N27" s="82"/>
      <c r="O27" s="25"/>
      <c r="P27" s="24" t="s">
        <v>722</v>
      </c>
      <c r="Q27" s="28"/>
      <c r="R27" s="205"/>
      <c r="S27" s="194"/>
      <c r="T27" s="129"/>
      <c r="U27" s="90"/>
      <c r="V27" s="86"/>
      <c r="W27" s="46"/>
      <c r="X27" s="5"/>
    </row>
    <row r="28" spans="2:24" x14ac:dyDescent="0.25">
      <c r="B28" s="105">
        <v>44728</v>
      </c>
      <c r="C28" s="145">
        <v>3</v>
      </c>
      <c r="D28" s="35">
        <v>24</v>
      </c>
      <c r="E28" s="35" t="s">
        <v>52</v>
      </c>
      <c r="F28" s="115" t="s">
        <v>387</v>
      </c>
      <c r="G28" s="36">
        <f t="shared" si="0"/>
        <v>2.9390000000000001</v>
      </c>
      <c r="H28" s="20" t="s">
        <v>433</v>
      </c>
      <c r="I28" s="151" t="str">
        <f t="shared" si="3"/>
        <v xml:space="preserve"> -</v>
      </c>
      <c r="J28" s="117">
        <v>0</v>
      </c>
      <c r="K28" s="90">
        <v>2.9390000000000001</v>
      </c>
      <c r="L28" s="25">
        <f t="shared" si="1"/>
        <v>0</v>
      </c>
      <c r="M28" s="27">
        <f t="shared" si="2"/>
        <v>100</v>
      </c>
      <c r="N28" s="82"/>
      <c r="O28" s="25"/>
      <c r="P28" s="24" t="s">
        <v>723</v>
      </c>
      <c r="Q28" s="28"/>
      <c r="R28" s="205"/>
      <c r="S28" s="194"/>
      <c r="T28" s="200"/>
      <c r="U28" s="143"/>
      <c r="V28" s="199"/>
      <c r="W28" s="46"/>
      <c r="X28" s="5"/>
    </row>
    <row r="29" spans="2:24" x14ac:dyDescent="0.25">
      <c r="B29" s="105"/>
      <c r="C29" s="19">
        <v>3</v>
      </c>
      <c r="D29" s="35">
        <v>25</v>
      </c>
      <c r="E29" s="35" t="s">
        <v>53</v>
      </c>
      <c r="F29" s="113" t="s">
        <v>388</v>
      </c>
      <c r="G29" s="36">
        <f t="shared" si="0"/>
        <v>3.5880000000000001</v>
      </c>
      <c r="H29" s="20" t="s">
        <v>433</v>
      </c>
      <c r="I29" s="151" t="str">
        <f t="shared" si="3"/>
        <v xml:space="preserve"> -</v>
      </c>
      <c r="J29" s="117">
        <v>0</v>
      </c>
      <c r="K29" s="90">
        <v>3.5880000000000001</v>
      </c>
      <c r="L29" s="25">
        <f t="shared" si="1"/>
        <v>0</v>
      </c>
      <c r="M29" s="27">
        <f t="shared" si="2"/>
        <v>100</v>
      </c>
      <c r="N29" s="82"/>
      <c r="O29" s="25"/>
      <c r="P29" s="24" t="s">
        <v>724</v>
      </c>
      <c r="Q29" s="28"/>
      <c r="R29" s="205"/>
      <c r="S29" s="194"/>
      <c r="T29" s="129"/>
      <c r="U29" s="90"/>
      <c r="V29" s="86"/>
      <c r="W29" s="46"/>
      <c r="X29" s="5"/>
    </row>
    <row r="30" spans="2:24" x14ac:dyDescent="0.25">
      <c r="B30" s="105"/>
      <c r="C30" s="6">
        <v>3</v>
      </c>
      <c r="D30" s="35">
        <v>26</v>
      </c>
      <c r="E30" s="35" t="s">
        <v>54</v>
      </c>
      <c r="F30" s="113" t="s">
        <v>389</v>
      </c>
      <c r="G30" s="36">
        <f t="shared" si="0"/>
        <v>2.5499999999999998</v>
      </c>
      <c r="H30" s="20" t="s">
        <v>433</v>
      </c>
      <c r="I30" s="151" t="str">
        <f t="shared" si="3"/>
        <v xml:space="preserve"> -</v>
      </c>
      <c r="J30" s="117">
        <v>0</v>
      </c>
      <c r="K30" s="90">
        <v>2.5499999999999998</v>
      </c>
      <c r="L30" s="25">
        <f t="shared" si="1"/>
        <v>0</v>
      </c>
      <c r="M30" s="27">
        <f t="shared" si="2"/>
        <v>100</v>
      </c>
      <c r="N30" s="82"/>
      <c r="O30" s="25"/>
      <c r="P30" s="24" t="s">
        <v>725</v>
      </c>
      <c r="Q30" s="28"/>
      <c r="R30" s="205"/>
      <c r="S30" s="194"/>
      <c r="T30" s="129"/>
      <c r="U30" s="90"/>
      <c r="V30" s="86"/>
      <c r="W30" s="46"/>
      <c r="X30" s="5"/>
    </row>
    <row r="31" spans="2:24" x14ac:dyDescent="0.25">
      <c r="B31" s="105"/>
      <c r="C31" s="35">
        <v>3</v>
      </c>
      <c r="D31" s="35">
        <v>27</v>
      </c>
      <c r="E31" s="35" t="s">
        <v>55</v>
      </c>
      <c r="F31" s="113" t="s">
        <v>390</v>
      </c>
      <c r="G31" s="36">
        <f t="shared" si="0"/>
        <v>3.5940000000000003</v>
      </c>
      <c r="H31" s="20">
        <v>1</v>
      </c>
      <c r="I31" s="151">
        <f t="shared" si="3"/>
        <v>1</v>
      </c>
      <c r="J31" s="23">
        <v>0.44600000000000001</v>
      </c>
      <c r="K31" s="90">
        <v>3.1480000000000001</v>
      </c>
      <c r="L31" s="25">
        <f t="shared" si="1"/>
        <v>12.409571508069003</v>
      </c>
      <c r="M31" s="27">
        <f t="shared" si="2"/>
        <v>87.590428491930993</v>
      </c>
      <c r="N31" s="82"/>
      <c r="O31" s="25" t="s">
        <v>727</v>
      </c>
      <c r="P31" s="24" t="s">
        <v>726</v>
      </c>
      <c r="Q31" s="28"/>
      <c r="R31" s="205" t="str">
        <f t="shared" si="4"/>
        <v>,2030</v>
      </c>
      <c r="S31" s="194" t="str">
        <f t="shared" si="5"/>
        <v>,2030</v>
      </c>
      <c r="T31" s="195" t="s">
        <v>112</v>
      </c>
      <c r="U31" s="90">
        <f>J31</f>
        <v>0.44600000000000001</v>
      </c>
      <c r="V31" s="86" t="s">
        <v>453</v>
      </c>
      <c r="W31" s="46" t="s">
        <v>703</v>
      </c>
      <c r="X31" s="5"/>
    </row>
    <row r="32" spans="2:24" x14ac:dyDescent="0.25">
      <c r="B32" s="105"/>
      <c r="C32" s="6">
        <v>3</v>
      </c>
      <c r="D32" s="6">
        <v>28</v>
      </c>
      <c r="E32" s="6" t="s">
        <v>56</v>
      </c>
      <c r="F32" s="113" t="s">
        <v>391</v>
      </c>
      <c r="G32" s="36">
        <f t="shared" si="0"/>
        <v>2.3010000000000002</v>
      </c>
      <c r="H32" s="20" t="s">
        <v>434</v>
      </c>
      <c r="I32" s="151"/>
      <c r="J32" s="117">
        <v>0</v>
      </c>
      <c r="K32" s="90">
        <v>2.3010000000000002</v>
      </c>
      <c r="L32" s="25">
        <f t="shared" si="1"/>
        <v>0</v>
      </c>
      <c r="M32" s="27">
        <f t="shared" si="2"/>
        <v>100</v>
      </c>
      <c r="N32" s="82"/>
      <c r="O32" s="25"/>
      <c r="P32" s="24" t="s">
        <v>728</v>
      </c>
      <c r="Q32" s="28"/>
      <c r="R32" s="205"/>
      <c r="S32" s="194"/>
      <c r="T32" s="129"/>
      <c r="U32" s="90"/>
      <c r="V32" s="86"/>
      <c r="W32" s="46"/>
      <c r="X32" s="5"/>
    </row>
    <row r="33" spans="2:24" x14ac:dyDescent="0.25">
      <c r="B33" s="105"/>
      <c r="C33" s="35">
        <v>3</v>
      </c>
      <c r="D33" s="35">
        <v>29</v>
      </c>
      <c r="E33" s="35" t="s">
        <v>57</v>
      </c>
      <c r="F33" s="113" t="s">
        <v>392</v>
      </c>
      <c r="G33" s="36">
        <f t="shared" si="0"/>
        <v>3.8849999999999998</v>
      </c>
      <c r="H33" s="20" t="s">
        <v>433</v>
      </c>
      <c r="I33" s="151" t="str">
        <f t="shared" si="3"/>
        <v xml:space="preserve"> -</v>
      </c>
      <c r="J33" s="117">
        <v>0</v>
      </c>
      <c r="K33" s="90">
        <v>3.8849999999999998</v>
      </c>
      <c r="L33" s="25">
        <f t="shared" si="1"/>
        <v>0</v>
      </c>
      <c r="M33" s="27">
        <f t="shared" si="2"/>
        <v>100</v>
      </c>
      <c r="N33" s="82"/>
      <c r="O33" s="25"/>
      <c r="P33" s="24" t="s">
        <v>729</v>
      </c>
      <c r="Q33" s="28"/>
      <c r="R33" s="205"/>
      <c r="S33" s="194"/>
      <c r="T33" s="129"/>
      <c r="U33" s="90"/>
      <c r="V33" s="86"/>
      <c r="W33" s="46"/>
      <c r="X33" s="5"/>
    </row>
    <row r="34" spans="2:24" s="166" customFormat="1" x14ac:dyDescent="0.25">
      <c r="B34" s="169"/>
      <c r="C34" s="145">
        <v>3</v>
      </c>
      <c r="D34" s="145">
        <v>30</v>
      </c>
      <c r="E34" s="145" t="s">
        <v>58</v>
      </c>
      <c r="F34" s="146" t="s">
        <v>393</v>
      </c>
      <c r="G34" s="147">
        <f t="shared" si="0"/>
        <v>3.1829999999999998</v>
      </c>
      <c r="H34" s="170">
        <v>1</v>
      </c>
      <c r="I34" s="151">
        <f t="shared" si="3"/>
        <v>1</v>
      </c>
      <c r="J34" s="174">
        <v>1.105</v>
      </c>
      <c r="K34" s="154">
        <v>2.0779999999999998</v>
      </c>
      <c r="L34" s="156">
        <f t="shared" si="1"/>
        <v>34.715677034244422</v>
      </c>
      <c r="M34" s="158">
        <f t="shared" si="2"/>
        <v>65.284322965755564</v>
      </c>
      <c r="N34" s="157"/>
      <c r="O34" s="156" t="s">
        <v>773</v>
      </c>
      <c r="P34" s="155" t="s">
        <v>730</v>
      </c>
      <c r="Q34" s="159"/>
      <c r="R34" s="205" t="str">
        <f t="shared" si="4"/>
        <v>,2079</v>
      </c>
      <c r="S34" s="194" t="str">
        <f t="shared" si="5"/>
        <v>,2079</v>
      </c>
      <c r="T34" s="195" t="s">
        <v>112</v>
      </c>
      <c r="U34" s="154">
        <f>J34</f>
        <v>1.105</v>
      </c>
      <c r="V34" s="196" t="s">
        <v>453</v>
      </c>
      <c r="W34" s="165" t="s">
        <v>703</v>
      </c>
      <c r="X34" s="153"/>
    </row>
    <row r="35" spans="2:24" s="166" customFormat="1" x14ac:dyDescent="0.25">
      <c r="B35" s="169"/>
      <c r="C35" s="145">
        <v>3</v>
      </c>
      <c r="D35" s="145">
        <v>31</v>
      </c>
      <c r="E35" s="145" t="s">
        <v>59</v>
      </c>
      <c r="F35" s="172" t="s">
        <v>394</v>
      </c>
      <c r="G35" s="147">
        <f t="shared" si="0"/>
        <v>2.746</v>
      </c>
      <c r="H35" s="170" t="s">
        <v>433</v>
      </c>
      <c r="I35" s="151" t="str">
        <f t="shared" si="3"/>
        <v xml:space="preserve"> -</v>
      </c>
      <c r="J35" s="152">
        <v>0</v>
      </c>
      <c r="K35" s="154">
        <v>2.746</v>
      </c>
      <c r="L35" s="156">
        <f t="shared" si="1"/>
        <v>0</v>
      </c>
      <c r="M35" s="158">
        <f t="shared" si="2"/>
        <v>100</v>
      </c>
      <c r="N35" s="157"/>
      <c r="O35" s="156"/>
      <c r="P35" s="155" t="s">
        <v>731</v>
      </c>
      <c r="Q35" s="159"/>
      <c r="R35" s="205"/>
      <c r="S35" s="194"/>
      <c r="T35" s="195"/>
      <c r="U35" s="154"/>
      <c r="V35" s="196"/>
      <c r="W35" s="165"/>
      <c r="X35" s="153"/>
    </row>
    <row r="36" spans="2:24" s="166" customFormat="1" x14ac:dyDescent="0.25">
      <c r="B36" s="169"/>
      <c r="C36" s="19">
        <v>3</v>
      </c>
      <c r="D36" s="145">
        <v>32</v>
      </c>
      <c r="E36" s="145" t="s">
        <v>60</v>
      </c>
      <c r="F36" s="146" t="s">
        <v>395</v>
      </c>
      <c r="G36" s="147">
        <f t="shared" si="0"/>
        <v>2.41</v>
      </c>
      <c r="H36" s="170" t="s">
        <v>433</v>
      </c>
      <c r="I36" s="151" t="str">
        <f t="shared" si="3"/>
        <v xml:space="preserve"> -</v>
      </c>
      <c r="J36" s="152">
        <v>0</v>
      </c>
      <c r="K36" s="154">
        <v>2.41</v>
      </c>
      <c r="L36" s="156">
        <f t="shared" si="1"/>
        <v>0</v>
      </c>
      <c r="M36" s="158">
        <f t="shared" si="2"/>
        <v>100</v>
      </c>
      <c r="N36" s="157"/>
      <c r="O36" s="156"/>
      <c r="P36" s="155" t="s">
        <v>732</v>
      </c>
      <c r="Q36" s="159"/>
      <c r="R36" s="205"/>
      <c r="S36" s="194"/>
      <c r="T36" s="195"/>
      <c r="U36" s="154"/>
      <c r="V36" s="196"/>
      <c r="W36" s="165"/>
      <c r="X36" s="153"/>
    </row>
    <row r="37" spans="2:24" s="166" customFormat="1" x14ac:dyDescent="0.25">
      <c r="B37" s="169">
        <v>44732</v>
      </c>
      <c r="C37" s="6">
        <v>3</v>
      </c>
      <c r="D37" s="145">
        <v>33</v>
      </c>
      <c r="E37" s="145" t="s">
        <v>61</v>
      </c>
      <c r="F37" s="146" t="s">
        <v>396</v>
      </c>
      <c r="G37" s="147">
        <f t="shared" ref="G37:G70" si="6">SUM(J37:K37)</f>
        <v>3.7189999999999999</v>
      </c>
      <c r="H37" s="170" t="s">
        <v>433</v>
      </c>
      <c r="I37" s="151" t="str">
        <f t="shared" si="3"/>
        <v xml:space="preserve"> -</v>
      </c>
      <c r="J37" s="152">
        <v>0</v>
      </c>
      <c r="K37" s="154">
        <v>3.7189999999999999</v>
      </c>
      <c r="L37" s="156">
        <f t="shared" ref="L37:L70" si="7">J37/$G37*100</f>
        <v>0</v>
      </c>
      <c r="M37" s="158">
        <f t="shared" ref="M37:M70" si="8">K37/$G37*100</f>
        <v>100</v>
      </c>
      <c r="N37" s="157"/>
      <c r="O37" s="156"/>
      <c r="P37" s="155" t="s">
        <v>733</v>
      </c>
      <c r="Q37" s="159"/>
      <c r="R37" s="205"/>
      <c r="S37" s="194"/>
      <c r="T37" s="195"/>
      <c r="U37" s="154"/>
      <c r="V37" s="196"/>
      <c r="W37" s="165"/>
      <c r="X37" s="153"/>
    </row>
    <row r="38" spans="2:24" s="96" customFormat="1" x14ac:dyDescent="0.25">
      <c r="B38" s="108"/>
      <c r="C38" s="35">
        <v>3</v>
      </c>
      <c r="D38" s="19">
        <v>34</v>
      </c>
      <c r="E38" s="19" t="s">
        <v>62</v>
      </c>
      <c r="F38" s="114" t="s">
        <v>397</v>
      </c>
      <c r="G38" s="97">
        <f t="shared" si="6"/>
        <v>3.2029999999999998</v>
      </c>
      <c r="H38" s="182"/>
      <c r="I38" s="151"/>
      <c r="J38" s="152">
        <v>0</v>
      </c>
      <c r="K38" s="91">
        <v>3.2029999999999998</v>
      </c>
      <c r="L38" s="99">
        <f t="shared" si="7"/>
        <v>0</v>
      </c>
      <c r="M38" s="101">
        <f t="shared" si="8"/>
        <v>100</v>
      </c>
      <c r="N38" s="100"/>
      <c r="O38" s="99"/>
      <c r="P38" s="155" t="s">
        <v>734</v>
      </c>
      <c r="Q38" s="50"/>
      <c r="R38" s="205"/>
      <c r="S38" s="194"/>
      <c r="T38" s="201"/>
      <c r="U38" s="91"/>
      <c r="V38" s="130"/>
      <c r="W38" s="103"/>
      <c r="X38" s="42"/>
    </row>
    <row r="39" spans="2:24" s="96" customFormat="1" x14ac:dyDescent="0.25">
      <c r="B39" s="108"/>
      <c r="C39" s="6">
        <v>3</v>
      </c>
      <c r="D39" s="47">
        <v>35</v>
      </c>
      <c r="E39" s="19" t="s">
        <v>63</v>
      </c>
      <c r="F39" s="114" t="s">
        <v>398</v>
      </c>
      <c r="G39" s="97">
        <f t="shared" si="6"/>
        <v>3.8210000000000002</v>
      </c>
      <c r="H39" s="182">
        <v>1</v>
      </c>
      <c r="I39" s="151">
        <f t="shared" si="3"/>
        <v>1</v>
      </c>
      <c r="J39" s="183">
        <v>0.42199999999999999</v>
      </c>
      <c r="K39" s="91">
        <v>3.399</v>
      </c>
      <c r="L39" s="99">
        <f t="shared" si="7"/>
        <v>11.044229259356189</v>
      </c>
      <c r="M39" s="101">
        <f t="shared" si="8"/>
        <v>88.9557707406438</v>
      </c>
      <c r="N39" s="100"/>
      <c r="O39" s="174" t="s">
        <v>736</v>
      </c>
      <c r="P39" s="155" t="s">
        <v>735</v>
      </c>
      <c r="Q39" s="50"/>
      <c r="R39" s="205" t="str">
        <f t="shared" si="4"/>
        <v>,2040</v>
      </c>
      <c r="S39" s="194" t="str">
        <f t="shared" si="5"/>
        <v>,2040</v>
      </c>
      <c r="T39" s="195" t="s">
        <v>112</v>
      </c>
      <c r="U39" s="91">
        <f>J39</f>
        <v>0.42199999999999999</v>
      </c>
      <c r="V39" s="130" t="s">
        <v>453</v>
      </c>
      <c r="W39" s="103" t="s">
        <v>703</v>
      </c>
      <c r="X39" s="42"/>
    </row>
    <row r="40" spans="2:24" s="96" customFormat="1" x14ac:dyDescent="0.25">
      <c r="B40" s="108"/>
      <c r="C40" s="35">
        <v>3</v>
      </c>
      <c r="D40" s="19">
        <v>36</v>
      </c>
      <c r="E40" s="19" t="s">
        <v>92</v>
      </c>
      <c r="F40" s="114" t="s">
        <v>399</v>
      </c>
      <c r="G40" s="97">
        <f t="shared" si="6"/>
        <v>3.0990000000000002</v>
      </c>
      <c r="H40" s="182" t="s">
        <v>433</v>
      </c>
      <c r="I40" s="151" t="str">
        <f t="shared" si="3"/>
        <v xml:space="preserve"> -</v>
      </c>
      <c r="J40" s="121">
        <v>0</v>
      </c>
      <c r="K40" s="91">
        <v>3.0990000000000002</v>
      </c>
      <c r="L40" s="99">
        <f t="shared" si="7"/>
        <v>0</v>
      </c>
      <c r="M40" s="101">
        <f t="shared" si="8"/>
        <v>100</v>
      </c>
      <c r="N40" s="100"/>
      <c r="O40" s="99"/>
      <c r="P40" s="155" t="s">
        <v>737</v>
      </c>
      <c r="Q40" s="50"/>
      <c r="R40" s="205"/>
      <c r="S40" s="194"/>
      <c r="T40" s="197"/>
      <c r="U40" s="91"/>
      <c r="V40" s="130"/>
      <c r="W40" s="103"/>
      <c r="X40" s="42"/>
    </row>
    <row r="41" spans="2:24" x14ac:dyDescent="0.25">
      <c r="B41" s="105"/>
      <c r="C41" s="145">
        <v>3</v>
      </c>
      <c r="D41" s="35">
        <v>37</v>
      </c>
      <c r="E41" s="2" t="s">
        <v>93</v>
      </c>
      <c r="F41" s="113" t="s">
        <v>400</v>
      </c>
      <c r="G41" s="36">
        <f t="shared" si="6"/>
        <v>3.5269999999999997</v>
      </c>
      <c r="H41" s="54">
        <v>1</v>
      </c>
      <c r="I41" s="151">
        <f t="shared" si="3"/>
        <v>1</v>
      </c>
      <c r="J41" s="23">
        <v>0.60599999999999998</v>
      </c>
      <c r="K41" s="90">
        <v>2.9209999999999998</v>
      </c>
      <c r="L41" s="25">
        <f t="shared" si="7"/>
        <v>17.181740856251775</v>
      </c>
      <c r="M41" s="27">
        <f t="shared" si="8"/>
        <v>82.818259143748236</v>
      </c>
      <c r="N41" s="82"/>
      <c r="O41" s="25" t="s">
        <v>739</v>
      </c>
      <c r="P41" s="155" t="s">
        <v>738</v>
      </c>
      <c r="Q41" s="53"/>
      <c r="R41" s="205" t="str">
        <f t="shared" si="4"/>
        <v>,2043</v>
      </c>
      <c r="S41" s="194" t="str">
        <f t="shared" si="5"/>
        <v>,2043</v>
      </c>
      <c r="T41" s="195" t="s">
        <v>112</v>
      </c>
      <c r="U41" s="90">
        <f>J41</f>
        <v>0.60599999999999998</v>
      </c>
      <c r="V41" s="86" t="s">
        <v>453</v>
      </c>
      <c r="W41" s="46" t="s">
        <v>703</v>
      </c>
      <c r="X41" s="5"/>
    </row>
    <row r="42" spans="2:24" x14ac:dyDescent="0.25">
      <c r="B42" s="105">
        <v>44733</v>
      </c>
      <c r="C42" s="145">
        <v>3</v>
      </c>
      <c r="D42" s="35">
        <v>38</v>
      </c>
      <c r="E42" s="2" t="s">
        <v>94</v>
      </c>
      <c r="F42" s="113" t="s">
        <v>401</v>
      </c>
      <c r="G42" s="36">
        <f t="shared" si="6"/>
        <v>2.1120000000000001</v>
      </c>
      <c r="H42" s="54" t="s">
        <v>433</v>
      </c>
      <c r="I42" s="151" t="str">
        <f t="shared" si="3"/>
        <v xml:space="preserve"> -</v>
      </c>
      <c r="J42" s="117">
        <v>0</v>
      </c>
      <c r="K42" s="90">
        <v>2.1120000000000001</v>
      </c>
      <c r="L42" s="25">
        <f t="shared" si="7"/>
        <v>0</v>
      </c>
      <c r="M42" s="27">
        <f t="shared" si="8"/>
        <v>100</v>
      </c>
      <c r="N42" s="82"/>
      <c r="O42" s="25"/>
      <c r="P42" s="155" t="s">
        <v>740</v>
      </c>
      <c r="Q42" s="28"/>
      <c r="R42" s="205"/>
      <c r="S42" s="194"/>
      <c r="T42" s="129"/>
      <c r="U42" s="90"/>
      <c r="V42" s="86"/>
      <c r="W42" s="46"/>
      <c r="X42" s="5"/>
    </row>
    <row r="43" spans="2:24" x14ac:dyDescent="0.25">
      <c r="B43" s="105"/>
      <c r="C43" s="19">
        <v>3</v>
      </c>
      <c r="D43" s="6">
        <v>39</v>
      </c>
      <c r="E43" s="35" t="s">
        <v>64</v>
      </c>
      <c r="F43" s="115" t="s">
        <v>402</v>
      </c>
      <c r="G43" s="36">
        <f t="shared" si="6"/>
        <v>20.254000000000001</v>
      </c>
      <c r="H43" s="54">
        <v>1</v>
      </c>
      <c r="I43" s="151">
        <f t="shared" si="3"/>
        <v>1</v>
      </c>
      <c r="J43" s="23">
        <v>18.527000000000001</v>
      </c>
      <c r="K43" s="90">
        <v>1.7270000000000001</v>
      </c>
      <c r="L43" s="25">
        <f t="shared" si="7"/>
        <v>91.473289226819389</v>
      </c>
      <c r="M43" s="27">
        <f t="shared" si="8"/>
        <v>8.5267107731806053</v>
      </c>
      <c r="N43" s="82"/>
      <c r="O43" s="25" t="s">
        <v>772</v>
      </c>
      <c r="P43" s="155" t="s">
        <v>741</v>
      </c>
      <c r="Q43" s="53"/>
      <c r="R43" s="205" t="str">
        <f t="shared" si="4"/>
        <v>,2080</v>
      </c>
      <c r="S43" s="194" t="str">
        <f t="shared" si="5"/>
        <v>,2080</v>
      </c>
      <c r="T43" s="195" t="s">
        <v>112</v>
      </c>
      <c r="U43" s="90">
        <f>J43</f>
        <v>18.527000000000001</v>
      </c>
      <c r="V43" s="86" t="s">
        <v>453</v>
      </c>
      <c r="W43" s="46" t="s">
        <v>703</v>
      </c>
      <c r="X43" s="5"/>
    </row>
    <row r="44" spans="2:24" x14ac:dyDescent="0.25">
      <c r="B44" s="105"/>
      <c r="C44" s="6">
        <v>3</v>
      </c>
      <c r="D44" s="35">
        <v>40</v>
      </c>
      <c r="E44" s="35" t="s">
        <v>65</v>
      </c>
      <c r="F44" s="113" t="s">
        <v>403</v>
      </c>
      <c r="G44" s="36">
        <f t="shared" si="6"/>
        <v>1.7450000000000001</v>
      </c>
      <c r="H44" s="54" t="s">
        <v>433</v>
      </c>
      <c r="I44" s="151" t="str">
        <f t="shared" si="3"/>
        <v xml:space="preserve"> -</v>
      </c>
      <c r="J44" s="117">
        <v>0</v>
      </c>
      <c r="K44" s="90">
        <v>1.7450000000000001</v>
      </c>
      <c r="L44" s="25">
        <f t="shared" si="7"/>
        <v>0</v>
      </c>
      <c r="M44" s="27">
        <f t="shared" si="8"/>
        <v>100</v>
      </c>
      <c r="N44" s="82"/>
      <c r="O44" s="25"/>
      <c r="P44" s="155" t="s">
        <v>742</v>
      </c>
      <c r="Q44" s="53"/>
      <c r="R44" s="205"/>
      <c r="S44" s="194"/>
      <c r="T44" s="129"/>
      <c r="U44" s="90"/>
      <c r="V44" s="86"/>
      <c r="W44" s="46"/>
      <c r="X44" s="5"/>
    </row>
    <row r="45" spans="2:24" x14ac:dyDescent="0.25">
      <c r="B45" s="105"/>
      <c r="C45" s="35">
        <v>3</v>
      </c>
      <c r="D45" s="35">
        <v>41</v>
      </c>
      <c r="E45" s="35" t="s">
        <v>66</v>
      </c>
      <c r="F45" s="113" t="s">
        <v>404</v>
      </c>
      <c r="G45" s="36">
        <f t="shared" si="6"/>
        <v>2.2490000000000001</v>
      </c>
      <c r="H45" s="54" t="s">
        <v>433</v>
      </c>
      <c r="I45" s="151" t="str">
        <f t="shared" si="3"/>
        <v xml:space="preserve"> -</v>
      </c>
      <c r="J45" s="117">
        <v>0</v>
      </c>
      <c r="K45" s="90">
        <v>2.2490000000000001</v>
      </c>
      <c r="L45" s="25">
        <f t="shared" si="7"/>
        <v>0</v>
      </c>
      <c r="M45" s="27">
        <f t="shared" si="8"/>
        <v>100</v>
      </c>
      <c r="N45" s="82"/>
      <c r="O45" s="25"/>
      <c r="P45" s="155" t="s">
        <v>743</v>
      </c>
      <c r="Q45" s="53"/>
      <c r="R45" s="205"/>
      <c r="S45" s="194"/>
      <c r="T45" s="129"/>
      <c r="U45" s="90"/>
      <c r="V45" s="86"/>
      <c r="W45" s="46"/>
      <c r="X45" s="5"/>
    </row>
    <row r="46" spans="2:24" x14ac:dyDescent="0.25">
      <c r="B46" s="105"/>
      <c r="C46" s="6">
        <v>3</v>
      </c>
      <c r="D46" s="35">
        <v>42</v>
      </c>
      <c r="E46" s="35" t="s">
        <v>67</v>
      </c>
      <c r="F46" s="113" t="s">
        <v>405</v>
      </c>
      <c r="G46" s="36">
        <f t="shared" si="6"/>
        <v>2.7</v>
      </c>
      <c r="H46" s="54" t="s">
        <v>433</v>
      </c>
      <c r="I46" s="151" t="str">
        <f t="shared" si="3"/>
        <v xml:space="preserve"> -</v>
      </c>
      <c r="J46" s="117">
        <v>0</v>
      </c>
      <c r="K46" s="90">
        <v>2.7</v>
      </c>
      <c r="L46" s="25">
        <f t="shared" si="7"/>
        <v>0</v>
      </c>
      <c r="M46" s="27">
        <f t="shared" si="8"/>
        <v>100</v>
      </c>
      <c r="N46" s="82"/>
      <c r="O46" s="25"/>
      <c r="P46" s="155" t="s">
        <v>744</v>
      </c>
      <c r="Q46" s="53"/>
      <c r="R46" s="205"/>
      <c r="S46" s="194"/>
      <c r="T46" s="129"/>
      <c r="U46" s="90"/>
      <c r="V46" s="86"/>
      <c r="W46" s="46"/>
      <c r="X46" s="5"/>
    </row>
    <row r="47" spans="2:24" x14ac:dyDescent="0.25">
      <c r="B47" s="105"/>
      <c r="C47" s="35">
        <v>3</v>
      </c>
      <c r="D47" s="35">
        <v>43</v>
      </c>
      <c r="E47" s="35" t="s">
        <v>68</v>
      </c>
      <c r="F47" s="113" t="s">
        <v>406</v>
      </c>
      <c r="G47" s="36">
        <f t="shared" si="6"/>
        <v>3.2610000000000001</v>
      </c>
      <c r="H47" s="54" t="s">
        <v>433</v>
      </c>
      <c r="I47" s="151" t="str">
        <f t="shared" si="3"/>
        <v xml:space="preserve"> -</v>
      </c>
      <c r="J47" s="117">
        <v>0</v>
      </c>
      <c r="K47" s="90">
        <v>3.2610000000000001</v>
      </c>
      <c r="L47" s="25">
        <f t="shared" si="7"/>
        <v>0</v>
      </c>
      <c r="M47" s="27">
        <f t="shared" si="8"/>
        <v>100</v>
      </c>
      <c r="N47" s="82"/>
      <c r="O47" s="25"/>
      <c r="P47" s="155" t="s">
        <v>745</v>
      </c>
      <c r="Q47" s="28"/>
      <c r="R47" s="205"/>
      <c r="S47" s="194"/>
      <c r="T47" s="129"/>
      <c r="U47" s="90"/>
      <c r="V47" s="86"/>
      <c r="W47" s="46"/>
      <c r="X47" s="5"/>
    </row>
    <row r="48" spans="2:24" x14ac:dyDescent="0.25">
      <c r="B48" s="105">
        <v>44734</v>
      </c>
      <c r="C48" s="145">
        <v>3</v>
      </c>
      <c r="D48" s="19">
        <v>44</v>
      </c>
      <c r="E48" s="35" t="s">
        <v>69</v>
      </c>
      <c r="F48" s="113" t="s">
        <v>407</v>
      </c>
      <c r="G48" s="36">
        <f t="shared" si="6"/>
        <v>3.161</v>
      </c>
      <c r="H48" s="54" t="s">
        <v>434</v>
      </c>
      <c r="I48" s="151" t="str">
        <f t="shared" si="3"/>
        <v xml:space="preserve"> - </v>
      </c>
      <c r="J48" s="117">
        <v>0</v>
      </c>
      <c r="K48" s="90">
        <v>3.161</v>
      </c>
      <c r="L48" s="25">
        <f t="shared" si="7"/>
        <v>0</v>
      </c>
      <c r="M48" s="27">
        <f t="shared" si="8"/>
        <v>100</v>
      </c>
      <c r="N48" s="82"/>
      <c r="O48" s="25"/>
      <c r="P48" s="155" t="s">
        <v>746</v>
      </c>
      <c r="Q48" s="28"/>
      <c r="R48" s="205"/>
      <c r="S48" s="194"/>
      <c r="T48" s="202"/>
      <c r="U48" s="90"/>
      <c r="V48" s="86"/>
      <c r="W48" s="46"/>
      <c r="X48" s="5"/>
    </row>
    <row r="49" spans="2:24" x14ac:dyDescent="0.25">
      <c r="B49" s="105"/>
      <c r="C49" s="145">
        <v>3</v>
      </c>
      <c r="D49" s="35">
        <v>45</v>
      </c>
      <c r="E49" s="35" t="s">
        <v>70</v>
      </c>
      <c r="F49" s="115" t="s">
        <v>408</v>
      </c>
      <c r="G49" s="36">
        <f t="shared" si="6"/>
        <v>3.536</v>
      </c>
      <c r="H49" s="54">
        <v>1</v>
      </c>
      <c r="I49" s="151">
        <f t="shared" si="3"/>
        <v>1</v>
      </c>
      <c r="J49" s="23">
        <v>0.45500000000000002</v>
      </c>
      <c r="K49" s="90">
        <v>3.081</v>
      </c>
      <c r="L49" s="25">
        <f t="shared" si="7"/>
        <v>12.867647058823531</v>
      </c>
      <c r="M49" s="27">
        <f t="shared" si="8"/>
        <v>87.132352941176478</v>
      </c>
      <c r="N49" s="82"/>
      <c r="O49" s="25" t="s">
        <v>777</v>
      </c>
      <c r="P49" s="155" t="s">
        <v>747</v>
      </c>
      <c r="Q49" s="53"/>
      <c r="R49" s="205" t="str">
        <f t="shared" si="4"/>
        <v>,2082</v>
      </c>
      <c r="S49" s="194" t="str">
        <f t="shared" si="5"/>
        <v>,2082</v>
      </c>
      <c r="T49" s="195" t="s">
        <v>112</v>
      </c>
      <c r="U49" s="90">
        <f>J49</f>
        <v>0.45500000000000002</v>
      </c>
      <c r="V49" s="86" t="s">
        <v>453</v>
      </c>
      <c r="W49" s="46" t="s">
        <v>703</v>
      </c>
      <c r="X49" s="5"/>
    </row>
    <row r="50" spans="2:24" x14ac:dyDescent="0.25">
      <c r="B50" s="105"/>
      <c r="C50" s="19">
        <v>3</v>
      </c>
      <c r="D50" s="35">
        <v>46</v>
      </c>
      <c r="E50" s="35" t="s">
        <v>71</v>
      </c>
      <c r="F50" s="113" t="s">
        <v>409</v>
      </c>
      <c r="G50" s="36">
        <f t="shared" si="6"/>
        <v>4.1589999999999998</v>
      </c>
      <c r="H50" s="54">
        <v>1</v>
      </c>
      <c r="I50" s="151">
        <f t="shared" si="3"/>
        <v>1</v>
      </c>
      <c r="J50" s="23">
        <v>1.258</v>
      </c>
      <c r="K50" s="90">
        <v>2.9009999999999998</v>
      </c>
      <c r="L50" s="25">
        <f t="shared" si="7"/>
        <v>30.247655686463094</v>
      </c>
      <c r="M50" s="27">
        <f t="shared" si="8"/>
        <v>69.752344313536909</v>
      </c>
      <c r="N50" s="82"/>
      <c r="O50" s="25" t="s">
        <v>749</v>
      </c>
      <c r="P50" s="155" t="s">
        <v>748</v>
      </c>
      <c r="Q50" s="28"/>
      <c r="R50" s="205" t="str">
        <f t="shared" si="4"/>
        <v>,2053</v>
      </c>
      <c r="S50" s="194" t="str">
        <f t="shared" si="5"/>
        <v>,2053</v>
      </c>
      <c r="T50" s="195" t="s">
        <v>112</v>
      </c>
      <c r="U50" s="90">
        <f>J50</f>
        <v>1.258</v>
      </c>
      <c r="V50" s="86" t="s">
        <v>453</v>
      </c>
      <c r="W50" s="46" t="s">
        <v>703</v>
      </c>
      <c r="X50" s="5"/>
    </row>
    <row r="51" spans="2:24" x14ac:dyDescent="0.25">
      <c r="B51" s="105"/>
      <c r="C51" s="6">
        <v>3</v>
      </c>
      <c r="D51" s="35">
        <v>47</v>
      </c>
      <c r="E51" s="35" t="s">
        <v>72</v>
      </c>
      <c r="F51" s="113" t="s">
        <v>410</v>
      </c>
      <c r="G51" s="36">
        <f t="shared" si="6"/>
        <v>2.36</v>
      </c>
      <c r="H51" s="54" t="s">
        <v>433</v>
      </c>
      <c r="I51" s="151" t="str">
        <f t="shared" si="3"/>
        <v xml:space="preserve"> -</v>
      </c>
      <c r="J51" s="117">
        <v>0</v>
      </c>
      <c r="K51" s="90">
        <v>2.36</v>
      </c>
      <c r="L51" s="25">
        <f t="shared" si="7"/>
        <v>0</v>
      </c>
      <c r="M51" s="27">
        <f t="shared" si="8"/>
        <v>100</v>
      </c>
      <c r="N51" s="82"/>
      <c r="O51" s="25"/>
      <c r="P51" s="155" t="s">
        <v>750</v>
      </c>
      <c r="Q51" s="28"/>
      <c r="R51" s="205"/>
      <c r="S51" s="194"/>
      <c r="T51" s="129"/>
      <c r="U51" s="90"/>
      <c r="V51" s="86"/>
      <c r="W51" s="46"/>
      <c r="X51" s="5"/>
    </row>
    <row r="52" spans="2:24" x14ac:dyDescent="0.25">
      <c r="B52" s="105"/>
      <c r="C52" s="35">
        <v>3</v>
      </c>
      <c r="D52" s="35">
        <v>48</v>
      </c>
      <c r="E52" s="35" t="s">
        <v>73</v>
      </c>
      <c r="F52" s="113" t="s">
        <v>411</v>
      </c>
      <c r="G52" s="36">
        <f t="shared" si="6"/>
        <v>2.8559999999999999</v>
      </c>
      <c r="H52" s="54" t="s">
        <v>433</v>
      </c>
      <c r="I52" s="151" t="str">
        <f t="shared" si="3"/>
        <v xml:space="preserve"> -</v>
      </c>
      <c r="J52" s="117">
        <v>0</v>
      </c>
      <c r="K52" s="90">
        <v>2.8559999999999999</v>
      </c>
      <c r="L52" s="25">
        <f t="shared" si="7"/>
        <v>0</v>
      </c>
      <c r="M52" s="27">
        <f t="shared" si="8"/>
        <v>100</v>
      </c>
      <c r="N52" s="82"/>
      <c r="O52" s="25"/>
      <c r="P52" s="155" t="s">
        <v>751</v>
      </c>
      <c r="Q52" s="28"/>
      <c r="R52" s="205"/>
      <c r="S52" s="194"/>
      <c r="T52" s="129"/>
      <c r="U52" s="90"/>
      <c r="V52" s="86"/>
      <c r="W52" s="46"/>
      <c r="X52" s="5"/>
    </row>
    <row r="53" spans="2:24" x14ac:dyDescent="0.25">
      <c r="B53" s="105"/>
      <c r="C53" s="6">
        <v>3</v>
      </c>
      <c r="D53" s="35">
        <v>49</v>
      </c>
      <c r="E53" s="35" t="s">
        <v>74</v>
      </c>
      <c r="F53" s="113" t="s">
        <v>412</v>
      </c>
      <c r="G53" s="36">
        <f t="shared" si="6"/>
        <v>1.93</v>
      </c>
      <c r="H53" s="54" t="s">
        <v>433</v>
      </c>
      <c r="I53" s="151" t="str">
        <f t="shared" si="3"/>
        <v xml:space="preserve"> -</v>
      </c>
      <c r="J53" s="117">
        <v>0</v>
      </c>
      <c r="K53" s="90">
        <v>1.93</v>
      </c>
      <c r="L53" s="25">
        <f t="shared" si="7"/>
        <v>0</v>
      </c>
      <c r="M53" s="27">
        <f t="shared" si="8"/>
        <v>100</v>
      </c>
      <c r="N53" s="82"/>
      <c r="O53" s="25"/>
      <c r="P53" s="155" t="s">
        <v>752</v>
      </c>
      <c r="Q53" s="28"/>
      <c r="R53" s="205"/>
      <c r="S53" s="194"/>
      <c r="T53" s="129"/>
      <c r="U53" s="90"/>
      <c r="V53" s="86"/>
      <c r="W53" s="46"/>
      <c r="X53" s="5"/>
    </row>
    <row r="54" spans="2:24" x14ac:dyDescent="0.25">
      <c r="B54" s="105"/>
      <c r="C54" s="35">
        <v>3</v>
      </c>
      <c r="D54" s="35">
        <v>50</v>
      </c>
      <c r="E54" s="35" t="s">
        <v>75</v>
      </c>
      <c r="F54" s="113" t="s">
        <v>413</v>
      </c>
      <c r="G54" s="36">
        <f t="shared" si="6"/>
        <v>11.783999999999999</v>
      </c>
      <c r="H54" s="54">
        <v>1</v>
      </c>
      <c r="I54" s="151">
        <f t="shared" si="3"/>
        <v>1</v>
      </c>
      <c r="J54" s="23">
        <v>9.6489999999999991</v>
      </c>
      <c r="K54" s="90">
        <v>2.1349999999999998</v>
      </c>
      <c r="L54" s="25">
        <f t="shared" si="7"/>
        <v>81.882213170400547</v>
      </c>
      <c r="M54" s="27">
        <f t="shared" si="8"/>
        <v>18.117786829599456</v>
      </c>
      <c r="N54" s="82"/>
      <c r="O54" s="25" t="s">
        <v>771</v>
      </c>
      <c r="P54" s="155" t="s">
        <v>753</v>
      </c>
      <c r="Q54" s="28"/>
      <c r="R54" s="205" t="str">
        <f t="shared" si="4"/>
        <v>,2081</v>
      </c>
      <c r="S54" s="194" t="str">
        <f t="shared" si="5"/>
        <v>,2081</v>
      </c>
      <c r="T54" s="195" t="s">
        <v>112</v>
      </c>
      <c r="U54" s="90">
        <f>J54</f>
        <v>9.6489999999999991</v>
      </c>
      <c r="V54" s="86" t="s">
        <v>453</v>
      </c>
      <c r="W54" s="46" t="s">
        <v>703</v>
      </c>
      <c r="X54" s="5"/>
    </row>
    <row r="55" spans="2:24" x14ac:dyDescent="0.25">
      <c r="B55" s="105"/>
      <c r="C55" s="145">
        <v>3</v>
      </c>
      <c r="D55" s="35">
        <v>51</v>
      </c>
      <c r="E55" s="6" t="s">
        <v>76</v>
      </c>
      <c r="F55" s="113" t="s">
        <v>414</v>
      </c>
      <c r="G55" s="36">
        <f t="shared" si="6"/>
        <v>3.0219999999999998</v>
      </c>
      <c r="H55" s="54" t="s">
        <v>433</v>
      </c>
      <c r="I55" s="151" t="str">
        <f t="shared" si="3"/>
        <v xml:space="preserve"> -</v>
      </c>
      <c r="J55" s="117">
        <v>0</v>
      </c>
      <c r="K55" s="90">
        <v>3.0219999999999998</v>
      </c>
      <c r="L55" s="25">
        <f t="shared" si="7"/>
        <v>0</v>
      </c>
      <c r="M55" s="27">
        <f t="shared" si="8"/>
        <v>100</v>
      </c>
      <c r="N55" s="82"/>
      <c r="O55" s="25"/>
      <c r="P55" s="155" t="s">
        <v>754</v>
      </c>
      <c r="Q55" s="53"/>
      <c r="R55" s="205"/>
      <c r="S55" s="194"/>
      <c r="T55" s="129"/>
      <c r="U55" s="90"/>
      <c r="V55" s="86"/>
      <c r="W55" s="46"/>
      <c r="X55" s="5"/>
    </row>
    <row r="56" spans="2:24" x14ac:dyDescent="0.25">
      <c r="B56" s="105"/>
      <c r="C56" s="145">
        <v>3</v>
      </c>
      <c r="D56" s="35">
        <v>52</v>
      </c>
      <c r="E56" s="35" t="s">
        <v>77</v>
      </c>
      <c r="F56" s="113" t="s">
        <v>415</v>
      </c>
      <c r="G56" s="36">
        <f t="shared" si="6"/>
        <v>2.64</v>
      </c>
      <c r="H56" s="54" t="s">
        <v>433</v>
      </c>
      <c r="I56" s="151" t="str">
        <f t="shared" si="3"/>
        <v xml:space="preserve"> -</v>
      </c>
      <c r="J56" s="117">
        <v>0</v>
      </c>
      <c r="K56" s="90">
        <v>2.64</v>
      </c>
      <c r="L56" s="25">
        <f t="shared" si="7"/>
        <v>0</v>
      </c>
      <c r="M56" s="27">
        <f t="shared" si="8"/>
        <v>100</v>
      </c>
      <c r="N56" s="82"/>
      <c r="O56" s="25"/>
      <c r="P56" s="155" t="s">
        <v>755</v>
      </c>
      <c r="Q56" s="28"/>
      <c r="R56" s="205"/>
      <c r="S56" s="194"/>
      <c r="T56" s="129"/>
      <c r="U56" s="90"/>
      <c r="V56" s="86"/>
      <c r="W56" s="46"/>
      <c r="X56" s="5"/>
    </row>
    <row r="57" spans="2:24" x14ac:dyDescent="0.25">
      <c r="B57" s="105"/>
      <c r="C57" s="19">
        <v>3</v>
      </c>
      <c r="D57" s="6">
        <v>53</v>
      </c>
      <c r="E57" s="35" t="s">
        <v>78</v>
      </c>
      <c r="F57" s="115" t="s">
        <v>416</v>
      </c>
      <c r="G57" s="36">
        <f t="shared" si="6"/>
        <v>3.698</v>
      </c>
      <c r="H57" s="54" t="s">
        <v>434</v>
      </c>
      <c r="I57" s="151" t="str">
        <f t="shared" si="3"/>
        <v xml:space="preserve"> - </v>
      </c>
      <c r="J57" s="117">
        <v>0</v>
      </c>
      <c r="K57" s="90">
        <v>3.698</v>
      </c>
      <c r="L57" s="25">
        <f t="shared" si="7"/>
        <v>0</v>
      </c>
      <c r="M57" s="27">
        <f t="shared" si="8"/>
        <v>100</v>
      </c>
      <c r="N57" s="82"/>
      <c r="O57" s="25"/>
      <c r="P57" s="155" t="s">
        <v>756</v>
      </c>
      <c r="Q57" s="53"/>
      <c r="R57" s="205"/>
      <c r="S57" s="194"/>
      <c r="T57" s="129"/>
      <c r="U57" s="90"/>
      <c r="V57" s="86"/>
      <c r="W57" s="46"/>
      <c r="X57" s="5"/>
    </row>
    <row r="58" spans="2:24" x14ac:dyDescent="0.25">
      <c r="B58" s="105"/>
      <c r="C58" s="6">
        <v>3</v>
      </c>
      <c r="D58" s="35">
        <v>54</v>
      </c>
      <c r="E58" s="35" t="s">
        <v>79</v>
      </c>
      <c r="F58" s="113" t="s">
        <v>417</v>
      </c>
      <c r="G58" s="36">
        <f t="shared" si="6"/>
        <v>2.9220000000000002</v>
      </c>
      <c r="H58" s="54" t="s">
        <v>433</v>
      </c>
      <c r="I58" s="151" t="str">
        <f t="shared" si="3"/>
        <v xml:space="preserve"> -</v>
      </c>
      <c r="J58" s="117">
        <v>0</v>
      </c>
      <c r="K58" s="90">
        <v>2.9220000000000002</v>
      </c>
      <c r="L58" s="25">
        <f t="shared" si="7"/>
        <v>0</v>
      </c>
      <c r="M58" s="27">
        <f t="shared" si="8"/>
        <v>100</v>
      </c>
      <c r="N58" s="82"/>
      <c r="O58" s="25"/>
      <c r="P58" s="155" t="s">
        <v>757</v>
      </c>
      <c r="Q58" s="53"/>
      <c r="R58" s="205"/>
      <c r="S58" s="194"/>
      <c r="T58" s="129"/>
      <c r="U58" s="90"/>
      <c r="V58" s="86"/>
      <c r="W58" s="46"/>
      <c r="X58" s="5"/>
    </row>
    <row r="59" spans="2:24" x14ac:dyDescent="0.25">
      <c r="B59" s="105"/>
      <c r="C59" s="35">
        <v>3</v>
      </c>
      <c r="D59" s="35">
        <v>55</v>
      </c>
      <c r="E59" s="35" t="s">
        <v>80</v>
      </c>
      <c r="F59" s="113" t="s">
        <v>418</v>
      </c>
      <c r="G59" s="36">
        <f t="shared" si="6"/>
        <v>4.3810000000000002</v>
      </c>
      <c r="H59" s="54" t="s">
        <v>434</v>
      </c>
      <c r="I59" s="151" t="str">
        <f t="shared" si="3"/>
        <v xml:space="preserve"> - </v>
      </c>
      <c r="J59" s="117">
        <v>0</v>
      </c>
      <c r="K59" s="90">
        <v>4.3810000000000002</v>
      </c>
      <c r="L59" s="25">
        <f t="shared" si="7"/>
        <v>0</v>
      </c>
      <c r="M59" s="27">
        <f t="shared" si="8"/>
        <v>100</v>
      </c>
      <c r="N59" s="82"/>
      <c r="O59" s="25"/>
      <c r="P59" s="155" t="s">
        <v>758</v>
      </c>
      <c r="Q59" s="53"/>
      <c r="R59" s="205"/>
      <c r="S59" s="194"/>
      <c r="T59" s="202"/>
      <c r="U59" s="90"/>
      <c r="V59" s="86"/>
      <c r="W59" s="46"/>
      <c r="X59" s="5"/>
    </row>
    <row r="60" spans="2:24" x14ac:dyDescent="0.25">
      <c r="B60" s="105"/>
      <c r="C60" s="6">
        <v>3</v>
      </c>
      <c r="D60" s="35">
        <v>56</v>
      </c>
      <c r="E60" s="35" t="s">
        <v>81</v>
      </c>
      <c r="F60" s="113" t="s">
        <v>419</v>
      </c>
      <c r="G60" s="36">
        <f t="shared" si="6"/>
        <v>2.621</v>
      </c>
      <c r="H60" s="54" t="s">
        <v>434</v>
      </c>
      <c r="I60" s="151" t="str">
        <f t="shared" si="3"/>
        <v xml:space="preserve"> - </v>
      </c>
      <c r="J60" s="117">
        <v>0</v>
      </c>
      <c r="K60" s="90">
        <v>2.621</v>
      </c>
      <c r="L60" s="25">
        <f t="shared" si="7"/>
        <v>0</v>
      </c>
      <c r="M60" s="27">
        <f t="shared" si="8"/>
        <v>100</v>
      </c>
      <c r="N60" s="82"/>
      <c r="O60" s="25"/>
      <c r="P60" s="155" t="s">
        <v>759</v>
      </c>
      <c r="Q60" s="53"/>
      <c r="R60" s="205"/>
      <c r="S60" s="194"/>
      <c r="T60" s="129"/>
      <c r="U60" s="90"/>
      <c r="V60" s="86"/>
      <c r="W60" s="46"/>
      <c r="X60" s="5"/>
    </row>
    <row r="61" spans="2:24" x14ac:dyDescent="0.25">
      <c r="B61" s="109"/>
      <c r="C61" s="35">
        <v>3</v>
      </c>
      <c r="D61" s="35">
        <v>57</v>
      </c>
      <c r="E61" s="35" t="s">
        <v>82</v>
      </c>
      <c r="F61" s="113" t="s">
        <v>420</v>
      </c>
      <c r="G61" s="36">
        <f t="shared" si="6"/>
        <v>4.4000000000000004</v>
      </c>
      <c r="H61" s="54" t="s">
        <v>434</v>
      </c>
      <c r="I61" s="151" t="str">
        <f t="shared" si="3"/>
        <v xml:space="preserve"> - </v>
      </c>
      <c r="J61" s="117">
        <v>0</v>
      </c>
      <c r="K61" s="90">
        <v>4.4000000000000004</v>
      </c>
      <c r="L61" s="25">
        <f t="shared" si="7"/>
        <v>0</v>
      </c>
      <c r="M61" s="27">
        <f t="shared" si="8"/>
        <v>100</v>
      </c>
      <c r="N61" s="82"/>
      <c r="O61" s="25"/>
      <c r="P61" s="155" t="s">
        <v>760</v>
      </c>
      <c r="Q61" s="53"/>
      <c r="R61" s="205"/>
      <c r="S61" s="194"/>
      <c r="T61" s="129"/>
      <c r="U61" s="90"/>
      <c r="V61" s="86"/>
      <c r="W61" s="46"/>
      <c r="X61" s="5"/>
    </row>
    <row r="62" spans="2:24" x14ac:dyDescent="0.25">
      <c r="B62" s="105"/>
      <c r="C62" s="145">
        <v>3</v>
      </c>
      <c r="D62" s="35">
        <v>58</v>
      </c>
      <c r="E62" s="35" t="s">
        <v>83</v>
      </c>
      <c r="F62" s="113" t="s">
        <v>421</v>
      </c>
      <c r="G62" s="36">
        <f t="shared" si="6"/>
        <v>3.0249999999999999</v>
      </c>
      <c r="H62" s="54" t="s">
        <v>433</v>
      </c>
      <c r="I62" s="151" t="str">
        <f t="shared" si="3"/>
        <v xml:space="preserve"> -</v>
      </c>
      <c r="J62" s="117">
        <v>0</v>
      </c>
      <c r="K62" s="90">
        <v>3.0249999999999999</v>
      </c>
      <c r="L62" s="25">
        <f t="shared" si="7"/>
        <v>0</v>
      </c>
      <c r="M62" s="27">
        <f t="shared" si="8"/>
        <v>100</v>
      </c>
      <c r="N62" s="82"/>
      <c r="O62" s="25"/>
      <c r="P62" s="155" t="s">
        <v>761</v>
      </c>
      <c r="Q62" s="28"/>
      <c r="R62" s="205"/>
      <c r="S62" s="194"/>
      <c r="T62" s="129"/>
      <c r="U62" s="90"/>
      <c r="V62" s="86"/>
      <c r="W62" s="46"/>
      <c r="X62" s="5"/>
    </row>
    <row r="63" spans="2:24" x14ac:dyDescent="0.25">
      <c r="B63" s="105"/>
      <c r="C63" s="145">
        <v>3</v>
      </c>
      <c r="D63" s="35">
        <v>59</v>
      </c>
      <c r="E63" s="35" t="s">
        <v>84</v>
      </c>
      <c r="F63" s="113" t="s">
        <v>422</v>
      </c>
      <c r="G63" s="36">
        <f t="shared" si="6"/>
        <v>3.4489999999999998</v>
      </c>
      <c r="H63" s="54" t="s">
        <v>433</v>
      </c>
      <c r="I63" s="151" t="str">
        <f t="shared" si="3"/>
        <v xml:space="preserve"> -</v>
      </c>
      <c r="J63" s="117">
        <v>0</v>
      </c>
      <c r="K63" s="90">
        <v>3.4489999999999998</v>
      </c>
      <c r="L63" s="25">
        <f t="shared" si="7"/>
        <v>0</v>
      </c>
      <c r="M63" s="27">
        <f t="shared" si="8"/>
        <v>100</v>
      </c>
      <c r="N63" s="82"/>
      <c r="O63" s="25"/>
      <c r="P63" s="155" t="s">
        <v>762</v>
      </c>
      <c r="Q63" s="28"/>
      <c r="R63" s="205"/>
      <c r="S63" s="194"/>
      <c r="T63" s="129"/>
      <c r="U63" s="90"/>
      <c r="V63" s="86"/>
      <c r="W63" s="46"/>
      <c r="X63" s="5"/>
    </row>
    <row r="64" spans="2:24" x14ac:dyDescent="0.25">
      <c r="B64" s="105"/>
      <c r="C64" s="19">
        <v>3</v>
      </c>
      <c r="D64" s="35">
        <v>60</v>
      </c>
      <c r="E64" s="35" t="s">
        <v>85</v>
      </c>
      <c r="F64" s="115" t="s">
        <v>423</v>
      </c>
      <c r="G64" s="36">
        <f t="shared" si="6"/>
        <v>3.3460000000000001</v>
      </c>
      <c r="H64" s="54" t="s">
        <v>433</v>
      </c>
      <c r="I64" s="151" t="str">
        <f t="shared" si="3"/>
        <v xml:space="preserve"> -</v>
      </c>
      <c r="J64" s="117">
        <v>0</v>
      </c>
      <c r="K64" s="90">
        <v>3.3460000000000001</v>
      </c>
      <c r="L64" s="25">
        <f t="shared" si="7"/>
        <v>0</v>
      </c>
      <c r="M64" s="27">
        <f t="shared" si="8"/>
        <v>100</v>
      </c>
      <c r="N64" s="82"/>
      <c r="O64" s="25"/>
      <c r="P64" s="155" t="s">
        <v>763</v>
      </c>
      <c r="Q64" s="53"/>
      <c r="R64" s="205"/>
      <c r="S64" s="194"/>
      <c r="T64" s="129"/>
      <c r="U64" s="90"/>
      <c r="V64" s="86"/>
      <c r="W64" s="46"/>
      <c r="X64" s="5"/>
    </row>
    <row r="65" spans="1:24" x14ac:dyDescent="0.25">
      <c r="B65" s="105"/>
      <c r="C65" s="6">
        <v>3</v>
      </c>
      <c r="D65" s="35">
        <v>61</v>
      </c>
      <c r="E65" s="35" t="s">
        <v>86</v>
      </c>
      <c r="F65" s="113" t="s">
        <v>424</v>
      </c>
      <c r="G65" s="36">
        <f t="shared" si="6"/>
        <v>3.081</v>
      </c>
      <c r="H65" s="54" t="s">
        <v>433</v>
      </c>
      <c r="I65" s="151" t="str">
        <f t="shared" si="3"/>
        <v xml:space="preserve"> -</v>
      </c>
      <c r="J65" s="117">
        <v>0</v>
      </c>
      <c r="K65" s="90">
        <v>3.081</v>
      </c>
      <c r="L65" s="25">
        <f t="shared" si="7"/>
        <v>0</v>
      </c>
      <c r="M65" s="27">
        <f t="shared" si="8"/>
        <v>100</v>
      </c>
      <c r="N65" s="82"/>
      <c r="O65" s="25"/>
      <c r="P65" s="155" t="s">
        <v>764</v>
      </c>
      <c r="Q65" s="28"/>
      <c r="R65" s="205"/>
      <c r="S65" s="194"/>
      <c r="T65" s="129"/>
      <c r="U65" s="90"/>
      <c r="V65" s="86"/>
      <c r="W65" s="46"/>
      <c r="X65" s="5"/>
    </row>
    <row r="66" spans="1:24" x14ac:dyDescent="0.25">
      <c r="B66" s="105"/>
      <c r="C66" s="35">
        <v>3</v>
      </c>
      <c r="D66" s="35">
        <v>62</v>
      </c>
      <c r="E66" s="35" t="s">
        <v>87</v>
      </c>
      <c r="F66" s="113" t="s">
        <v>425</v>
      </c>
      <c r="G66" s="36">
        <f t="shared" si="6"/>
        <v>3.5609999999999999</v>
      </c>
      <c r="H66" s="54" t="s">
        <v>433</v>
      </c>
      <c r="I66" s="151" t="str">
        <f t="shared" si="3"/>
        <v xml:space="preserve"> -</v>
      </c>
      <c r="J66" s="117">
        <v>0</v>
      </c>
      <c r="K66" s="90">
        <v>3.5609999999999999</v>
      </c>
      <c r="L66" s="25">
        <f t="shared" si="7"/>
        <v>0</v>
      </c>
      <c r="M66" s="27">
        <f t="shared" si="8"/>
        <v>100</v>
      </c>
      <c r="N66" s="82"/>
      <c r="O66" s="25"/>
      <c r="P66" s="155" t="s">
        <v>765</v>
      </c>
      <c r="Q66" s="28"/>
      <c r="R66" s="205"/>
      <c r="S66" s="194"/>
      <c r="T66" s="129"/>
      <c r="U66" s="90"/>
      <c r="V66" s="86"/>
      <c r="W66" s="46"/>
      <c r="X66" s="5"/>
    </row>
    <row r="67" spans="1:24" s="166" customFormat="1" x14ac:dyDescent="0.25">
      <c r="B67" s="144">
        <v>44736</v>
      </c>
      <c r="C67" s="6">
        <v>3</v>
      </c>
      <c r="D67" s="145">
        <v>63</v>
      </c>
      <c r="E67" s="145" t="s">
        <v>88</v>
      </c>
      <c r="F67" s="146" t="s">
        <v>426</v>
      </c>
      <c r="G67" s="147">
        <f t="shared" si="6"/>
        <v>2.2639999999999998</v>
      </c>
      <c r="H67" s="148" t="s">
        <v>433</v>
      </c>
      <c r="I67" s="151" t="str">
        <f t="shared" si="3"/>
        <v xml:space="preserve"> -</v>
      </c>
      <c r="J67" s="152">
        <v>0</v>
      </c>
      <c r="K67" s="154">
        <v>2.2639999999999998</v>
      </c>
      <c r="L67" s="156">
        <f t="shared" si="7"/>
        <v>0</v>
      </c>
      <c r="M67" s="158">
        <f t="shared" si="8"/>
        <v>100</v>
      </c>
      <c r="N67" s="157"/>
      <c r="O67" s="156"/>
      <c r="P67" s="155" t="s">
        <v>766</v>
      </c>
      <c r="Q67" s="159"/>
      <c r="R67" s="205"/>
      <c r="S67" s="194"/>
      <c r="T67" s="195"/>
      <c r="U67" s="154"/>
      <c r="V67" s="196"/>
      <c r="W67" s="165"/>
      <c r="X67" s="153"/>
    </row>
    <row r="68" spans="1:24" s="166" customFormat="1" x14ac:dyDescent="0.25">
      <c r="B68" s="144"/>
      <c r="C68" s="35">
        <v>3</v>
      </c>
      <c r="D68" s="145">
        <v>64</v>
      </c>
      <c r="E68" s="145" t="s">
        <v>89</v>
      </c>
      <c r="F68" s="146" t="s">
        <v>427</v>
      </c>
      <c r="G68" s="147">
        <f t="shared" si="6"/>
        <v>2.7610000000000001</v>
      </c>
      <c r="H68" s="148">
        <v>1</v>
      </c>
      <c r="I68" s="151">
        <f t="shared" si="3"/>
        <v>1</v>
      </c>
      <c r="J68" s="174">
        <v>0.66700000000000004</v>
      </c>
      <c r="K68" s="154">
        <v>2.0939999999999999</v>
      </c>
      <c r="L68" s="156">
        <f t="shared" si="7"/>
        <v>24.157913799348062</v>
      </c>
      <c r="M68" s="158">
        <f t="shared" si="8"/>
        <v>75.84208620065192</v>
      </c>
      <c r="N68" s="157"/>
      <c r="O68" s="156" t="s">
        <v>768</v>
      </c>
      <c r="P68" s="155" t="s">
        <v>767</v>
      </c>
      <c r="Q68" s="159"/>
      <c r="R68" s="205" t="str">
        <f t="shared" si="4"/>
        <v>,2073</v>
      </c>
      <c r="S68" s="194" t="str">
        <f t="shared" si="5"/>
        <v>,2073</v>
      </c>
      <c r="T68" s="195" t="s">
        <v>112</v>
      </c>
      <c r="U68" s="154">
        <f>J68</f>
        <v>0.66700000000000004</v>
      </c>
      <c r="V68" s="196" t="s">
        <v>453</v>
      </c>
      <c r="W68" s="165" t="s">
        <v>703</v>
      </c>
      <c r="X68" s="153"/>
    </row>
    <row r="69" spans="1:24" s="166" customFormat="1" x14ac:dyDescent="0.25">
      <c r="B69" s="144"/>
      <c r="C69" s="145">
        <v>3</v>
      </c>
      <c r="D69" s="145">
        <v>65</v>
      </c>
      <c r="E69" s="145" t="s">
        <v>90</v>
      </c>
      <c r="F69" s="146" t="s">
        <v>428</v>
      </c>
      <c r="G69" s="147">
        <f t="shared" si="6"/>
        <v>1.9079999999999999</v>
      </c>
      <c r="H69" s="148" t="s">
        <v>433</v>
      </c>
      <c r="I69" s="151" t="str">
        <f t="shared" si="3"/>
        <v xml:space="preserve"> -</v>
      </c>
      <c r="J69" s="152">
        <v>0</v>
      </c>
      <c r="K69" s="154">
        <v>1.9079999999999999</v>
      </c>
      <c r="L69" s="156">
        <f t="shared" si="7"/>
        <v>0</v>
      </c>
      <c r="M69" s="158">
        <f t="shared" si="8"/>
        <v>100</v>
      </c>
      <c r="N69" s="157"/>
      <c r="O69" s="156"/>
      <c r="P69" s="155" t="s">
        <v>769</v>
      </c>
      <c r="Q69" s="159"/>
      <c r="R69" s="160"/>
      <c r="S69" s="198"/>
      <c r="T69" s="195"/>
      <c r="U69" s="154"/>
      <c r="V69" s="196"/>
      <c r="W69" s="165"/>
      <c r="X69" s="153"/>
    </row>
    <row r="70" spans="1:24" ht="15.75" thickBot="1" x14ac:dyDescent="0.3">
      <c r="B70" s="55"/>
      <c r="C70" s="56">
        <v>3</v>
      </c>
      <c r="D70" s="56">
        <v>66</v>
      </c>
      <c r="E70" s="58" t="s">
        <v>91</v>
      </c>
      <c r="F70" s="113" t="s">
        <v>429</v>
      </c>
      <c r="G70" s="75">
        <f t="shared" si="6"/>
        <v>3.1859999999999999</v>
      </c>
      <c r="H70" s="57" t="s">
        <v>433</v>
      </c>
      <c r="I70" s="192" t="str">
        <f t="shared" ref="I70" si="9">H70</f>
        <v xml:space="preserve"> -</v>
      </c>
      <c r="J70" s="119">
        <v>0</v>
      </c>
      <c r="K70" s="60">
        <v>3.1859999999999999</v>
      </c>
      <c r="L70" s="62">
        <f t="shared" si="7"/>
        <v>0</v>
      </c>
      <c r="M70" s="64">
        <f t="shared" si="8"/>
        <v>100</v>
      </c>
      <c r="N70" s="82"/>
      <c r="O70" s="62"/>
      <c r="P70" s="61" t="s">
        <v>770</v>
      </c>
      <c r="Q70" s="65"/>
      <c r="R70" s="66"/>
      <c r="S70" s="65"/>
      <c r="T70" s="68"/>
      <c r="U70" s="60"/>
      <c r="V70" s="71"/>
      <c r="W70" s="70"/>
      <c r="X70" s="5"/>
    </row>
    <row r="71" spans="1:24" ht="41.25" customHeight="1" thickTop="1" x14ac:dyDescent="0.25">
      <c r="B71" s="139"/>
      <c r="C71" s="35"/>
      <c r="D71" s="35"/>
      <c r="E71" s="255"/>
      <c r="F71" s="255"/>
      <c r="G71" s="78"/>
      <c r="H71" s="104" t="s">
        <v>511</v>
      </c>
      <c r="I71" s="209">
        <f>SUM(I5:I70)</f>
        <v>13</v>
      </c>
      <c r="J71" s="5"/>
      <c r="K71" s="5"/>
      <c r="L71" s="26"/>
      <c r="M71" s="26"/>
      <c r="N71" s="82"/>
      <c r="O71" s="82"/>
      <c r="P71" s="5"/>
      <c r="Q71" s="53"/>
      <c r="T71" s="30"/>
      <c r="U71" s="5"/>
      <c r="X71" s="5"/>
    </row>
    <row r="72" spans="1:24" s="223" customFormat="1" ht="15.75" x14ac:dyDescent="0.25">
      <c r="C72" s="217" t="s">
        <v>780</v>
      </c>
      <c r="D72" s="217"/>
      <c r="E72" s="217"/>
      <c r="F72" s="217"/>
      <c r="G72" s="261">
        <f>SUM(G5:G70)</f>
        <v>237.85400000000001</v>
      </c>
      <c r="H72" s="217"/>
      <c r="I72" s="217"/>
      <c r="J72" s="217"/>
      <c r="K72" s="217"/>
      <c r="L72" s="217"/>
      <c r="M72" s="217"/>
      <c r="N72" s="225"/>
      <c r="O72" s="225"/>
      <c r="P72" s="217"/>
      <c r="Q72" s="217"/>
      <c r="R72" s="217"/>
      <c r="S72" s="217"/>
      <c r="T72" s="217"/>
      <c r="U72" s="217"/>
      <c r="V72" s="217"/>
      <c r="W72" s="226"/>
      <c r="X72" s="227"/>
    </row>
    <row r="73" spans="1:24" x14ac:dyDescent="0.25">
      <c r="E73" s="4"/>
      <c r="L73" s="53"/>
    </row>
    <row r="75" spans="1:24" s="240" customFormat="1" ht="30.75" customHeight="1" x14ac:dyDescent="0.25">
      <c r="A75" s="259" t="s">
        <v>790</v>
      </c>
      <c r="B75" s="259"/>
      <c r="C75" s="259"/>
      <c r="D75" s="259"/>
      <c r="E75" s="259"/>
      <c r="F75" s="259"/>
      <c r="G75" s="260">
        <v>801.65300000000002</v>
      </c>
      <c r="H75" s="241"/>
      <c r="I75" s="241"/>
      <c r="J75" s="241"/>
      <c r="K75" s="241"/>
      <c r="L75" s="241"/>
      <c r="M75" s="241"/>
      <c r="N75" s="242"/>
      <c r="O75" s="242"/>
      <c r="P75" s="241"/>
      <c r="Q75" s="241"/>
      <c r="R75" s="241"/>
      <c r="S75" s="241"/>
      <c r="T75" s="241"/>
      <c r="U75" s="241"/>
      <c r="V75" s="241"/>
      <c r="W75" s="243"/>
      <c r="X75" s="244"/>
    </row>
    <row r="76" spans="1:24" x14ac:dyDescent="0.25">
      <c r="G76" s="4"/>
    </row>
    <row r="78" spans="1:24" x14ac:dyDescent="0.25">
      <c r="B78" s="239"/>
      <c r="C78" s="239"/>
      <c r="D78" s="235"/>
      <c r="E78" s="235"/>
      <c r="F78" s="235"/>
      <c r="G78" s="235"/>
    </row>
    <row r="79" spans="1:24" x14ac:dyDescent="0.25">
      <c r="B79" s="245"/>
      <c r="C79" s="245"/>
      <c r="D79" s="246"/>
      <c r="E79" s="246"/>
      <c r="F79" s="235"/>
      <c r="G79" s="235"/>
    </row>
    <row r="80" spans="1:24" x14ac:dyDescent="0.25">
      <c r="B80" s="239"/>
      <c r="C80" s="239"/>
      <c r="D80" s="235"/>
      <c r="E80" s="235"/>
      <c r="F80" s="235"/>
      <c r="G80" s="235"/>
    </row>
    <row r="81" spans="2:24" x14ac:dyDescent="0.25">
      <c r="B81" s="239"/>
      <c r="C81" s="239"/>
      <c r="D81" s="235"/>
      <c r="E81" s="235"/>
      <c r="F81" s="235"/>
      <c r="G81" s="235"/>
    </row>
    <row r="82" spans="2:24" x14ac:dyDescent="0.25">
      <c r="B82" s="239"/>
      <c r="C82" s="239"/>
      <c r="D82" s="235"/>
      <c r="E82" s="235"/>
      <c r="F82" s="235"/>
      <c r="G82" s="235"/>
    </row>
    <row r="83" spans="2:24" x14ac:dyDescent="0.25">
      <c r="B83" s="239"/>
      <c r="C83" s="239"/>
      <c r="D83" s="235"/>
      <c r="E83" s="235"/>
      <c r="F83" s="235"/>
      <c r="G83" s="235"/>
    </row>
    <row r="84" spans="2:24" x14ac:dyDescent="0.25">
      <c r="B84" s="245"/>
      <c r="C84" s="245"/>
      <c r="D84" s="246"/>
      <c r="E84" s="246"/>
      <c r="F84" s="235"/>
      <c r="G84" s="235"/>
    </row>
    <row r="85" spans="2:24" s="239" customFormat="1" x14ac:dyDescent="0.25">
      <c r="B85" s="245"/>
      <c r="C85" s="245"/>
      <c r="D85" s="246"/>
      <c r="E85" s="246"/>
      <c r="F85" s="235"/>
      <c r="G85" s="235"/>
      <c r="H85" s="235"/>
      <c r="I85" s="235"/>
      <c r="J85" s="235"/>
      <c r="K85" s="235"/>
      <c r="L85" s="235"/>
      <c r="M85" s="235"/>
      <c r="N85" s="247"/>
      <c r="O85" s="247"/>
      <c r="P85" s="235"/>
      <c r="Q85" s="235"/>
      <c r="R85" s="235"/>
      <c r="S85" s="235"/>
      <c r="T85" s="235"/>
      <c r="U85" s="235"/>
      <c r="V85" s="235"/>
      <c r="W85" s="190"/>
      <c r="X85" s="188"/>
    </row>
    <row r="86" spans="2:24" x14ac:dyDescent="0.25">
      <c r="B86" s="239"/>
      <c r="C86" s="239"/>
      <c r="D86" s="235"/>
      <c r="E86" s="235"/>
      <c r="F86" s="235"/>
      <c r="G86" s="235"/>
    </row>
    <row r="87" spans="2:24" x14ac:dyDescent="0.25">
      <c r="B87" s="239"/>
      <c r="C87" s="239"/>
      <c r="D87" s="235"/>
      <c r="E87" s="235"/>
      <c r="F87" s="235"/>
      <c r="G87" s="235"/>
    </row>
    <row r="88" spans="2:24" x14ac:dyDescent="0.25">
      <c r="B88" s="239"/>
      <c r="C88" s="239"/>
      <c r="D88" s="235"/>
      <c r="E88" s="235"/>
      <c r="F88" s="235"/>
      <c r="G88" s="235"/>
    </row>
    <row r="89" spans="2:24" x14ac:dyDescent="0.25">
      <c r="B89" s="239"/>
      <c r="C89" s="239"/>
      <c r="D89" s="235"/>
      <c r="E89" s="235"/>
      <c r="F89" s="235"/>
      <c r="G89" s="235"/>
    </row>
    <row r="90" spans="2:24" x14ac:dyDescent="0.25">
      <c r="B90" s="239"/>
      <c r="C90" s="239"/>
      <c r="D90" s="235"/>
      <c r="E90" s="235"/>
      <c r="F90" s="235"/>
      <c r="G90" s="235"/>
    </row>
    <row r="91" spans="2:24" x14ac:dyDescent="0.25">
      <c r="B91" s="239"/>
      <c r="C91" s="239"/>
      <c r="D91" s="235"/>
      <c r="E91" s="235"/>
      <c r="F91" s="235"/>
      <c r="G91" s="235"/>
    </row>
    <row r="92" spans="2:24" x14ac:dyDescent="0.25">
      <c r="B92" s="239"/>
      <c r="C92" s="239"/>
      <c r="D92" s="235"/>
      <c r="E92" s="235"/>
      <c r="F92" s="235"/>
      <c r="G92" s="235"/>
    </row>
    <row r="93" spans="2:24" x14ac:dyDescent="0.25">
      <c r="B93" s="239"/>
      <c r="C93" s="239"/>
      <c r="D93" s="235"/>
      <c r="E93" s="235"/>
      <c r="F93" s="235"/>
      <c r="G93" s="235"/>
    </row>
    <row r="94" spans="2:24" x14ac:dyDescent="0.25">
      <c r="B94" s="239"/>
      <c r="C94" s="239"/>
      <c r="D94" s="235"/>
      <c r="E94" s="235"/>
      <c r="F94" s="235"/>
      <c r="G94" s="235"/>
    </row>
    <row r="95" spans="2:24" x14ac:dyDescent="0.25">
      <c r="B95" s="239"/>
      <c r="C95" s="239"/>
      <c r="D95" s="235"/>
      <c r="E95" s="235"/>
      <c r="F95" s="235"/>
      <c r="G95" s="235"/>
    </row>
    <row r="96" spans="2:24" x14ac:dyDescent="0.25">
      <c r="B96" s="239"/>
      <c r="C96" s="239"/>
      <c r="D96" s="235"/>
      <c r="E96" s="235"/>
      <c r="F96" s="235"/>
      <c r="G96" s="235"/>
    </row>
    <row r="97" spans="2:7" x14ac:dyDescent="0.25">
      <c r="B97" s="239"/>
      <c r="C97" s="239"/>
      <c r="D97" s="235"/>
      <c r="E97" s="235"/>
      <c r="F97" s="235"/>
      <c r="G97" s="235"/>
    </row>
    <row r="98" spans="2:7" x14ac:dyDescent="0.25">
      <c r="B98" s="239"/>
      <c r="C98" s="239"/>
      <c r="D98" s="235"/>
      <c r="E98" s="235"/>
      <c r="F98" s="235"/>
      <c r="G98" s="235"/>
    </row>
    <row r="99" spans="2:7" x14ac:dyDescent="0.25">
      <c r="B99" s="245"/>
      <c r="C99" s="245"/>
      <c r="D99" s="246"/>
      <c r="E99" s="235"/>
      <c r="F99" s="235"/>
      <c r="G99" s="235"/>
    </row>
    <row r="100" spans="2:7" x14ac:dyDescent="0.25">
      <c r="B100" s="239"/>
      <c r="C100" s="239"/>
      <c r="D100" s="235"/>
      <c r="E100" s="235"/>
      <c r="F100" s="235"/>
      <c r="G100" s="235"/>
    </row>
    <row r="101" spans="2:7" x14ac:dyDescent="0.25">
      <c r="B101" s="239"/>
      <c r="C101" s="239"/>
      <c r="D101" s="235"/>
      <c r="E101" s="235"/>
      <c r="F101" s="235"/>
      <c r="G101" s="235"/>
    </row>
  </sheetData>
  <mergeCells count="8">
    <mergeCell ref="A75:F75"/>
    <mergeCell ref="R3:W3"/>
    <mergeCell ref="E71:F71"/>
    <mergeCell ref="O3:P3"/>
    <mergeCell ref="B3:G3"/>
    <mergeCell ref="H3:I3"/>
    <mergeCell ref="J3:K3"/>
    <mergeCell ref="L3:M3"/>
  </mergeCells>
  <phoneticPr fontId="9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Pass 1</vt:lpstr>
      <vt:lpstr>Pass 2</vt:lpstr>
      <vt:lpstr>Pass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Gross, Juliane (JSC-KR111)[IPA]</dc:creator>
  <cp:lastModifiedBy>Gross, Juliane (JSC-XI111)[IPA]</cp:lastModifiedBy>
  <cp:lastPrinted>2021-01-09T23:52:10Z</cp:lastPrinted>
  <dcterms:created xsi:type="dcterms:W3CDTF">2020-11-10T01:20:20Z</dcterms:created>
  <dcterms:modified xsi:type="dcterms:W3CDTF">2022-10-18T15:54:51Z</dcterms:modified>
</cp:coreProperties>
</file>